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tglobal-my.sharepoint.com/personal/suana_selmani_dt-global_com/Documents/Desktop/"/>
    </mc:Choice>
  </mc:AlternateContent>
  <xr:revisionPtr revIDLastSave="1" documentId="8_{7326AB2A-4A63-4052-984A-F0086350DEF6}" xr6:coauthVersionLast="47" xr6:coauthVersionMax="47" xr10:uidLastSave="{CCDF0D1B-EE8A-43F3-B06B-1A2DC932757D}"/>
  <bookViews>
    <workbookView xWindow="-120" yWindow="-120" windowWidth="29040" windowHeight="15720" xr2:uid="{00000000-000D-0000-FFFF-FFFF00000000}"/>
  </bookViews>
  <sheets>
    <sheet name="Consultant_Budget" sheetId="13" r:id="rId1"/>
    <sheet name="Program Services" sheetId="6" state="hidden" r:id="rId2"/>
    <sheet name="DV-IDENTITY-0" sheetId="7" state="hidden" r:id="rId3"/>
  </sheets>
  <definedNames>
    <definedName name="Duration">#REF!</definedName>
    <definedName name="infl">#REF!</definedName>
    <definedName name="over">#REF!</definedName>
    <definedName name="RFA">#REF!</definedName>
    <definedName name="salinf">#REF!</definedName>
    <definedName name="Subawardee">#REF!</definedName>
    <definedName name="tcnfringe">#REF!</definedName>
    <definedName name="Template_Rang">#REF!</definedName>
    <definedName name="Title">#REF!</definedName>
    <definedName name="usaid">#REF!</definedName>
    <definedName name="usfring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3" l="1"/>
  <c r="F18" i="13" s="1"/>
  <c r="D19" i="13"/>
  <c r="F19" i="13" s="1"/>
  <c r="D20" i="13"/>
  <c r="F20" i="13" s="1"/>
  <c r="D21" i="13"/>
  <c r="F21" i="13" s="1"/>
  <c r="D28" i="13" l="1"/>
  <c r="F28" i="13" s="1"/>
  <c r="D27" i="13"/>
  <c r="F27" i="13" s="1"/>
  <c r="D26" i="13"/>
  <c r="F26" i="13" s="1"/>
  <c r="D25" i="13"/>
  <c r="F25" i="13" s="1"/>
  <c r="D24" i="13"/>
  <c r="F24" i="13" s="1"/>
  <c r="D17" i="13"/>
  <c r="F17" i="13" s="1"/>
  <c r="E12" i="13"/>
  <c r="D12" i="13"/>
  <c r="F12" i="13" s="1"/>
  <c r="E11" i="13"/>
  <c r="D11" i="13"/>
  <c r="E8" i="13"/>
  <c r="D8" i="13"/>
  <c r="E7" i="13"/>
  <c r="D7" i="13"/>
  <c r="F11" i="13" l="1"/>
  <c r="D14" i="13"/>
  <c r="C32" i="13" s="1"/>
  <c r="D32" i="13" s="1"/>
  <c r="F7" i="13"/>
  <c r="F8" i="13"/>
  <c r="F30" i="13"/>
  <c r="D30" i="13"/>
  <c r="F14" i="13" l="1"/>
  <c r="F32" i="13" l="1"/>
  <c r="F33" i="13" s="1"/>
  <c r="D33" i="13"/>
  <c r="D34" i="13" s="1"/>
  <c r="F34" i="13" l="1"/>
  <c r="II140" i="7" l="1"/>
  <c r="IH140" i="7"/>
  <c r="IG140" i="7"/>
  <c r="IF140" i="7"/>
  <c r="IE140" i="7"/>
  <c r="ID140" i="7"/>
  <c r="IC140" i="7"/>
  <c r="IB140" i="7"/>
  <c r="IA140" i="7"/>
  <c r="HZ140" i="7"/>
  <c r="HY140" i="7"/>
  <c r="HX140" i="7"/>
  <c r="HW140" i="7"/>
  <c r="HV140" i="7"/>
  <c r="HU140" i="7"/>
  <c r="HT140" i="7"/>
  <c r="HS140" i="7"/>
  <c r="HR140" i="7"/>
  <c r="HQ140" i="7"/>
  <c r="HP140" i="7"/>
  <c r="HO140" i="7"/>
  <c r="HN140" i="7"/>
  <c r="HM140" i="7"/>
  <c r="HL140" i="7"/>
  <c r="HK140" i="7"/>
  <c r="HJ140" i="7"/>
  <c r="HI140" i="7"/>
  <c r="HH140" i="7"/>
  <c r="HG140" i="7"/>
  <c r="HF140" i="7"/>
  <c r="HE140" i="7"/>
  <c r="HD140" i="7"/>
  <c r="HC140" i="7"/>
  <c r="HB140" i="7"/>
  <c r="HA140" i="7"/>
  <c r="GZ140" i="7"/>
  <c r="GS140" i="7"/>
  <c r="GR140" i="7"/>
  <c r="GQ140" i="7"/>
  <c r="GP140" i="7"/>
  <c r="GO140" i="7"/>
  <c r="GN140" i="7"/>
  <c r="GM140" i="7"/>
  <c r="GL140" i="7"/>
  <c r="GK140" i="7"/>
  <c r="GJ140" i="7"/>
  <c r="GI140" i="7"/>
  <c r="GH140" i="7"/>
  <c r="GG140" i="7"/>
  <c r="GF140" i="7"/>
  <c r="GE140" i="7"/>
  <c r="GD140" i="7"/>
  <c r="GC140" i="7"/>
  <c r="GB140" i="7"/>
  <c r="GA140" i="7"/>
  <c r="FZ140" i="7"/>
  <c r="FY140" i="7"/>
  <c r="FX140" i="7"/>
  <c r="FW140" i="7"/>
  <c r="FV140" i="7"/>
  <c r="FU140" i="7"/>
  <c r="FT140" i="7"/>
  <c r="FS140" i="7"/>
  <c r="FR140" i="7"/>
  <c r="FQ140" i="7"/>
  <c r="FP140" i="7"/>
  <c r="FO140" i="7"/>
  <c r="FN140" i="7"/>
  <c r="FM140" i="7"/>
  <c r="FL140" i="7"/>
  <c r="FK140" i="7"/>
  <c r="FJ140" i="7"/>
  <c r="FI140" i="7"/>
  <c r="FH140" i="7"/>
  <c r="FG140" i="7"/>
  <c r="FF140" i="7"/>
  <c r="FE140" i="7"/>
  <c r="FD140" i="7"/>
  <c r="FC140" i="7"/>
  <c r="FB140" i="7"/>
  <c r="FA140" i="7"/>
  <c r="EZ140" i="7"/>
  <c r="EY140" i="7"/>
  <c r="EX140" i="7"/>
  <c r="EW140" i="7"/>
  <c r="EV140" i="7"/>
  <c r="EU140" i="7"/>
  <c r="ET140" i="7"/>
  <c r="ES140" i="7"/>
  <c r="ER140" i="7"/>
  <c r="EQ140" i="7"/>
  <c r="EP140" i="7"/>
  <c r="EO140" i="7"/>
  <c r="EN140" i="7"/>
  <c r="EM140" i="7"/>
  <c r="EL140" i="7"/>
  <c r="EK140" i="7"/>
  <c r="EJ140" i="7"/>
  <c r="EI140" i="7"/>
  <c r="EH140" i="7"/>
  <c r="EG140" i="7"/>
  <c r="EF140" i="7"/>
  <c r="EE140" i="7"/>
  <c r="ED140" i="7"/>
  <c r="EC140" i="7"/>
  <c r="EB140" i="7"/>
  <c r="EA140" i="7"/>
  <c r="DZ140" i="7"/>
  <c r="DY140" i="7"/>
  <c r="DX140" i="7"/>
  <c r="DW140" i="7"/>
  <c r="DV140" i="7"/>
  <c r="DU140" i="7"/>
  <c r="DT140" i="7"/>
  <c r="DS140" i="7"/>
  <c r="DR140" i="7"/>
  <c r="DQ140" i="7"/>
  <c r="DP140" i="7"/>
  <c r="DO140" i="7"/>
  <c r="DN140" i="7"/>
  <c r="DM140" i="7"/>
  <c r="DL140" i="7"/>
  <c r="DK140" i="7"/>
  <c r="DJ140" i="7"/>
  <c r="DI140" i="7"/>
  <c r="DH140" i="7"/>
  <c r="DG140" i="7"/>
  <c r="DF140" i="7"/>
  <c r="DE140" i="7"/>
  <c r="DD140" i="7"/>
  <c r="DC140" i="7"/>
  <c r="DB140" i="7"/>
  <c r="DA140" i="7"/>
  <c r="CZ140" i="7"/>
  <c r="CY140" i="7"/>
  <c r="CX140" i="7"/>
  <c r="CW140" i="7"/>
  <c r="CV140" i="7"/>
  <c r="CU140" i="7"/>
  <c r="CT140" i="7"/>
  <c r="CS140" i="7"/>
  <c r="CR140" i="7"/>
  <c r="CQ140" i="7"/>
  <c r="CP140" i="7"/>
  <c r="CO140" i="7"/>
  <c r="CN140" i="7"/>
  <c r="CM140" i="7"/>
  <c r="CL140" i="7"/>
  <c r="CK140" i="7"/>
  <c r="CJ140" i="7"/>
  <c r="CI140" i="7"/>
  <c r="CH140" i="7"/>
  <c r="CG140" i="7"/>
  <c r="CF140" i="7"/>
  <c r="CE140" i="7"/>
  <c r="CD140" i="7"/>
  <c r="CC140" i="7"/>
  <c r="CB140" i="7"/>
  <c r="CA140" i="7"/>
  <c r="BZ140" i="7"/>
  <c r="BY140" i="7"/>
  <c r="BX140" i="7"/>
  <c r="BW140" i="7"/>
  <c r="BV140" i="7"/>
  <c r="BU140" i="7"/>
  <c r="BT140" i="7"/>
  <c r="BS140" i="7"/>
  <c r="BR140" i="7"/>
  <c r="BQ140" i="7"/>
  <c r="BP140" i="7"/>
  <c r="BO140" i="7"/>
  <c r="BN140" i="7"/>
  <c r="BM140" i="7"/>
  <c r="BL140" i="7"/>
  <c r="BK140" i="7"/>
  <c r="BJ140" i="7"/>
  <c r="BI140" i="7"/>
  <c r="BH140" i="7"/>
  <c r="BG140" i="7"/>
  <c r="BF140" i="7"/>
  <c r="BE140" i="7"/>
  <c r="BD140" i="7"/>
  <c r="BC140" i="7"/>
  <c r="BB140" i="7"/>
  <c r="BA140" i="7"/>
  <c r="AZ140" i="7"/>
  <c r="AY140" i="7"/>
  <c r="AX140" i="7"/>
  <c r="AW140" i="7"/>
  <c r="AV140" i="7"/>
  <c r="AU140" i="7"/>
  <c r="AT140" i="7"/>
  <c r="AS140" i="7"/>
  <c r="AR140" i="7"/>
  <c r="AQ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C140" i="7"/>
  <c r="B140" i="7"/>
  <c r="A140" i="7"/>
  <c r="IV139" i="7"/>
  <c r="IU139" i="7"/>
  <c r="IT139" i="7"/>
  <c r="IS139" i="7"/>
  <c r="IR139" i="7"/>
  <c r="IQ139" i="7"/>
  <c r="IP139" i="7"/>
  <c r="IO139" i="7"/>
  <c r="IN139" i="7"/>
  <c r="IM139" i="7"/>
  <c r="IL139" i="7"/>
  <c r="IK139" i="7"/>
  <c r="IJ139" i="7"/>
  <c r="II139" i="7"/>
  <c r="IH139" i="7"/>
  <c r="IG139" i="7"/>
  <c r="IF139" i="7"/>
  <c r="IE139" i="7"/>
  <c r="ID139" i="7"/>
  <c r="IC139" i="7"/>
  <c r="IB139" i="7"/>
  <c r="IA139" i="7"/>
  <c r="HZ139" i="7"/>
  <c r="HY139" i="7"/>
  <c r="HX139" i="7"/>
  <c r="HW139" i="7"/>
  <c r="HV139" i="7"/>
  <c r="HU139" i="7"/>
  <c r="HT139" i="7"/>
  <c r="HS139" i="7"/>
  <c r="HR139" i="7"/>
  <c r="HQ139" i="7"/>
  <c r="HP139" i="7"/>
  <c r="HO139" i="7"/>
  <c r="HN139" i="7"/>
  <c r="HM139" i="7"/>
  <c r="HL139" i="7"/>
  <c r="HK139" i="7"/>
  <c r="HJ139" i="7"/>
  <c r="HI139" i="7"/>
  <c r="HH139" i="7"/>
  <c r="HG139" i="7"/>
  <c r="HF139" i="7"/>
  <c r="HE139" i="7"/>
  <c r="HD139" i="7"/>
  <c r="HC139" i="7"/>
  <c r="HB139" i="7"/>
  <c r="HA139" i="7"/>
  <c r="GZ139" i="7"/>
  <c r="GY139" i="7"/>
  <c r="GX139" i="7"/>
  <c r="GW139" i="7"/>
  <c r="GV139" i="7"/>
  <c r="GU139" i="7"/>
  <c r="GT139" i="7"/>
  <c r="GS139" i="7"/>
  <c r="GR139" i="7"/>
  <c r="GQ139" i="7"/>
  <c r="GP139" i="7"/>
  <c r="GO139" i="7"/>
  <c r="GN139" i="7"/>
  <c r="GM139" i="7"/>
  <c r="GL139" i="7"/>
  <c r="GK139" i="7"/>
  <c r="GJ139" i="7"/>
  <c r="GI139" i="7"/>
  <c r="GH139" i="7"/>
  <c r="GG139" i="7"/>
  <c r="GF139" i="7"/>
  <c r="GE139" i="7"/>
  <c r="GD139" i="7"/>
  <c r="GC139" i="7"/>
  <c r="GB139" i="7"/>
  <c r="GA139" i="7"/>
  <c r="FZ139" i="7"/>
  <c r="FY139" i="7"/>
  <c r="FX139" i="7"/>
  <c r="FW139" i="7"/>
  <c r="FV139" i="7"/>
  <c r="FU139" i="7"/>
  <c r="FT139" i="7"/>
  <c r="FS139" i="7"/>
  <c r="FR139" i="7"/>
  <c r="FQ139" i="7"/>
  <c r="FP139" i="7"/>
  <c r="FO139" i="7"/>
  <c r="FN139" i="7"/>
  <c r="FM139" i="7"/>
  <c r="FL139" i="7"/>
  <c r="FK139" i="7"/>
  <c r="FJ139" i="7"/>
  <c r="FI139" i="7"/>
  <c r="FH139" i="7"/>
  <c r="FG139" i="7"/>
  <c r="FF139" i="7"/>
  <c r="FE139" i="7"/>
  <c r="FD139" i="7"/>
  <c r="FC139" i="7"/>
  <c r="FB139" i="7"/>
  <c r="FA139" i="7"/>
  <c r="EZ139" i="7"/>
  <c r="EY139" i="7"/>
  <c r="EX139" i="7"/>
  <c r="EW139" i="7"/>
  <c r="EV139" i="7"/>
  <c r="EU139" i="7"/>
  <c r="ET139" i="7"/>
  <c r="ES139" i="7"/>
  <c r="ER139" i="7"/>
  <c r="EQ139" i="7"/>
  <c r="EP139" i="7"/>
  <c r="EO139" i="7"/>
  <c r="EN139" i="7"/>
  <c r="EM139" i="7"/>
  <c r="EL139" i="7"/>
  <c r="EK139" i="7"/>
  <c r="EJ139" i="7"/>
  <c r="EI139" i="7"/>
  <c r="EH139" i="7"/>
  <c r="EG139" i="7"/>
  <c r="EF139" i="7"/>
  <c r="EE139" i="7"/>
  <c r="ED139" i="7"/>
  <c r="EC139" i="7"/>
  <c r="EB139" i="7"/>
  <c r="EA139" i="7"/>
  <c r="DZ139" i="7"/>
  <c r="DY139" i="7"/>
  <c r="DX139" i="7"/>
  <c r="DW139" i="7"/>
  <c r="DV139" i="7"/>
  <c r="DU139" i="7"/>
  <c r="DT139" i="7"/>
  <c r="DS139" i="7"/>
  <c r="DR139" i="7"/>
  <c r="DQ139" i="7"/>
  <c r="DP139" i="7"/>
  <c r="DO139" i="7"/>
  <c r="DN139" i="7"/>
  <c r="DM139" i="7"/>
  <c r="DL139" i="7"/>
  <c r="DK139" i="7"/>
  <c r="DJ139" i="7"/>
  <c r="DI139" i="7"/>
  <c r="DH139" i="7"/>
  <c r="DG139" i="7"/>
  <c r="DF139" i="7"/>
  <c r="DE139" i="7"/>
  <c r="DD139" i="7"/>
  <c r="DC139" i="7"/>
  <c r="DB139" i="7"/>
  <c r="DA139" i="7"/>
  <c r="CZ139" i="7"/>
  <c r="CY139" i="7"/>
  <c r="CX139" i="7"/>
  <c r="CW139" i="7"/>
  <c r="CV139" i="7"/>
  <c r="CU139" i="7"/>
  <c r="CT139" i="7"/>
  <c r="CS139" i="7"/>
  <c r="CR139" i="7"/>
  <c r="CQ139" i="7"/>
  <c r="CP139" i="7"/>
  <c r="CO139" i="7"/>
  <c r="CN139" i="7"/>
  <c r="CM139" i="7"/>
  <c r="CL139" i="7"/>
  <c r="CK139" i="7"/>
  <c r="CJ139" i="7"/>
  <c r="CI139" i="7"/>
  <c r="CH139" i="7"/>
  <c r="CG139" i="7"/>
  <c r="CF139" i="7"/>
  <c r="CE139" i="7"/>
  <c r="CD139" i="7"/>
  <c r="CC139" i="7"/>
  <c r="CB139" i="7"/>
  <c r="CA139" i="7"/>
  <c r="BZ139" i="7"/>
  <c r="BY139" i="7"/>
  <c r="BX139" i="7"/>
  <c r="BW139" i="7"/>
  <c r="BV139" i="7"/>
  <c r="BU139" i="7"/>
  <c r="BT139" i="7"/>
  <c r="BS139" i="7"/>
  <c r="BR139" i="7"/>
  <c r="BQ139" i="7"/>
  <c r="BP139" i="7"/>
  <c r="BO139" i="7"/>
  <c r="BN139" i="7"/>
  <c r="BM139" i="7"/>
  <c r="BL139" i="7"/>
  <c r="BK139" i="7"/>
  <c r="BJ139" i="7"/>
  <c r="BI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R139" i="7"/>
  <c r="AQ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A139" i="7"/>
  <c r="IV138" i="7"/>
  <c r="IU138" i="7"/>
  <c r="IT138" i="7"/>
  <c r="IS138" i="7"/>
  <c r="IR138" i="7"/>
  <c r="IQ138" i="7"/>
  <c r="IP138" i="7"/>
  <c r="IO138" i="7"/>
  <c r="IN138" i="7"/>
  <c r="IM138" i="7"/>
  <c r="IL138" i="7"/>
  <c r="IK138" i="7"/>
  <c r="IJ138" i="7"/>
  <c r="II138" i="7"/>
  <c r="IH138" i="7"/>
  <c r="IG138" i="7"/>
  <c r="IF138" i="7"/>
  <c r="IE138" i="7"/>
  <c r="ID138" i="7"/>
  <c r="IC138" i="7"/>
  <c r="IB138" i="7"/>
  <c r="IA138" i="7"/>
  <c r="HZ138" i="7"/>
  <c r="HY138" i="7"/>
  <c r="HX138" i="7"/>
  <c r="HW138" i="7"/>
  <c r="HV138" i="7"/>
  <c r="HU138" i="7"/>
  <c r="HT138" i="7"/>
  <c r="HS138" i="7"/>
  <c r="HR138" i="7"/>
  <c r="HQ138" i="7"/>
  <c r="HP138" i="7"/>
  <c r="HO138" i="7"/>
  <c r="HN138" i="7"/>
  <c r="HM138" i="7"/>
  <c r="HL138" i="7"/>
  <c r="HK138" i="7"/>
  <c r="HJ138" i="7"/>
  <c r="HI138" i="7"/>
  <c r="HH138" i="7"/>
  <c r="HG138" i="7"/>
  <c r="HF138" i="7"/>
  <c r="HE138" i="7"/>
  <c r="HD138" i="7"/>
  <c r="HC138" i="7"/>
  <c r="HB138" i="7"/>
  <c r="HA138" i="7"/>
  <c r="GZ138" i="7"/>
  <c r="GY138" i="7"/>
  <c r="GX138" i="7"/>
  <c r="GW138" i="7"/>
  <c r="GV138" i="7"/>
  <c r="GU138" i="7"/>
  <c r="GT138" i="7"/>
  <c r="GS138" i="7"/>
  <c r="GR138" i="7"/>
  <c r="GQ138" i="7"/>
  <c r="GP138" i="7"/>
  <c r="GO138" i="7"/>
  <c r="GN138" i="7"/>
  <c r="GM138" i="7"/>
  <c r="GL138" i="7"/>
  <c r="GK138" i="7"/>
  <c r="GJ138" i="7"/>
  <c r="GI138" i="7"/>
  <c r="GH138" i="7"/>
  <c r="GG138" i="7"/>
  <c r="GF138" i="7"/>
  <c r="GE138" i="7"/>
  <c r="GD138" i="7"/>
  <c r="GC138" i="7"/>
  <c r="GB138" i="7"/>
  <c r="GA138" i="7"/>
  <c r="FZ138" i="7"/>
  <c r="FY138" i="7"/>
  <c r="FX138" i="7"/>
  <c r="FW138" i="7"/>
  <c r="FV138" i="7"/>
  <c r="FU138" i="7"/>
  <c r="FT138" i="7"/>
  <c r="FS138" i="7"/>
  <c r="FR138" i="7"/>
  <c r="FQ138" i="7"/>
  <c r="FP138" i="7"/>
  <c r="FO138" i="7"/>
  <c r="FN138" i="7"/>
  <c r="FM138" i="7"/>
  <c r="FL138" i="7"/>
  <c r="FK138" i="7"/>
  <c r="FJ138" i="7"/>
  <c r="FI138" i="7"/>
  <c r="FH138" i="7"/>
  <c r="FG138" i="7"/>
  <c r="FF138" i="7"/>
  <c r="FE138" i="7"/>
  <c r="FD138" i="7"/>
  <c r="FC138" i="7"/>
  <c r="FB138" i="7"/>
  <c r="FA138" i="7"/>
  <c r="EZ138" i="7"/>
  <c r="EY138" i="7"/>
  <c r="EX138" i="7"/>
  <c r="EW138" i="7"/>
  <c r="EV138" i="7"/>
  <c r="EU138" i="7"/>
  <c r="ET138" i="7"/>
  <c r="ES138" i="7"/>
  <c r="ER138" i="7"/>
  <c r="EQ138" i="7"/>
  <c r="EP138" i="7"/>
  <c r="EO138" i="7"/>
  <c r="EN138" i="7"/>
  <c r="EM138" i="7"/>
  <c r="EL138" i="7"/>
  <c r="EK138" i="7"/>
  <c r="EJ138" i="7"/>
  <c r="EI138" i="7"/>
  <c r="EH138" i="7"/>
  <c r="EG138" i="7"/>
  <c r="EF138" i="7"/>
  <c r="EE138" i="7"/>
  <c r="ED138" i="7"/>
  <c r="EC138" i="7"/>
  <c r="EB138" i="7"/>
  <c r="EA138" i="7"/>
  <c r="DZ138" i="7"/>
  <c r="DY138" i="7"/>
  <c r="DX138" i="7"/>
  <c r="DW138" i="7"/>
  <c r="DV138" i="7"/>
  <c r="DU138" i="7"/>
  <c r="DT138" i="7"/>
  <c r="DS138" i="7"/>
  <c r="DR138" i="7"/>
  <c r="DQ138" i="7"/>
  <c r="DP138" i="7"/>
  <c r="DO138" i="7"/>
  <c r="DN138" i="7"/>
  <c r="DM138" i="7"/>
  <c r="DL138" i="7"/>
  <c r="DK138" i="7"/>
  <c r="DJ138" i="7"/>
  <c r="DI138" i="7"/>
  <c r="DH138" i="7"/>
  <c r="DG138" i="7"/>
  <c r="DF138" i="7"/>
  <c r="DE138" i="7"/>
  <c r="DD138" i="7"/>
  <c r="DC138" i="7"/>
  <c r="DB138" i="7"/>
  <c r="DA138" i="7"/>
  <c r="CZ138" i="7"/>
  <c r="CY138" i="7"/>
  <c r="CX138" i="7"/>
  <c r="CW138" i="7"/>
  <c r="CV138" i="7"/>
  <c r="CU138" i="7"/>
  <c r="CT138" i="7"/>
  <c r="CS138" i="7"/>
  <c r="CR138" i="7"/>
  <c r="CQ138" i="7"/>
  <c r="CP138" i="7"/>
  <c r="CO138" i="7"/>
  <c r="CN138" i="7"/>
  <c r="CM138" i="7"/>
  <c r="CL138" i="7"/>
  <c r="CK138" i="7"/>
  <c r="CJ138" i="7"/>
  <c r="CI138" i="7"/>
  <c r="CH138" i="7"/>
  <c r="CG138" i="7"/>
  <c r="CF138" i="7"/>
  <c r="CE138" i="7"/>
  <c r="CD138" i="7"/>
  <c r="CC138" i="7"/>
  <c r="CB138" i="7"/>
  <c r="CA138" i="7"/>
  <c r="BZ138" i="7"/>
  <c r="BY138" i="7"/>
  <c r="BX138" i="7"/>
  <c r="BW138" i="7"/>
  <c r="BV138" i="7"/>
  <c r="BU138" i="7"/>
  <c r="BT138" i="7"/>
  <c r="BS138" i="7"/>
  <c r="BR138" i="7"/>
  <c r="BQ138" i="7"/>
  <c r="BP138" i="7"/>
  <c r="BO138" i="7"/>
  <c r="BN138" i="7"/>
  <c r="BM138" i="7"/>
  <c r="BL138" i="7"/>
  <c r="BK138" i="7"/>
  <c r="BJ138" i="7"/>
  <c r="BI138" i="7"/>
  <c r="BH138" i="7"/>
  <c r="BG138" i="7"/>
  <c r="BF138" i="7"/>
  <c r="BE138" i="7"/>
  <c r="BD138" i="7"/>
  <c r="BC138" i="7"/>
  <c r="BB138" i="7"/>
  <c r="BA138" i="7"/>
  <c r="AZ138" i="7"/>
  <c r="AY138" i="7"/>
  <c r="AX138" i="7"/>
  <c r="AW138" i="7"/>
  <c r="AV138" i="7"/>
  <c r="AU138" i="7"/>
  <c r="AT138" i="7"/>
  <c r="AS138" i="7"/>
  <c r="AR138" i="7"/>
  <c r="AQ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C138" i="7"/>
  <c r="B138" i="7"/>
  <c r="A138" i="7"/>
  <c r="IV137" i="7"/>
  <c r="IU137" i="7"/>
  <c r="IT137" i="7"/>
  <c r="IS137" i="7"/>
  <c r="IR137" i="7"/>
  <c r="IQ137" i="7"/>
  <c r="IP137" i="7"/>
  <c r="IO137" i="7"/>
  <c r="IN137" i="7"/>
  <c r="IM137" i="7"/>
  <c r="IL137" i="7"/>
  <c r="IK137" i="7"/>
  <c r="IJ137" i="7"/>
  <c r="II137" i="7"/>
  <c r="IH137" i="7"/>
  <c r="IG137" i="7"/>
  <c r="IF137" i="7"/>
  <c r="IE137" i="7"/>
  <c r="ID137" i="7"/>
  <c r="IC137" i="7"/>
  <c r="IB137" i="7"/>
  <c r="IA137" i="7"/>
  <c r="HZ137" i="7"/>
  <c r="HY137" i="7"/>
  <c r="HX137" i="7"/>
  <c r="HW137" i="7"/>
  <c r="HV137" i="7"/>
  <c r="HU137" i="7"/>
  <c r="HT137" i="7"/>
  <c r="HS137" i="7"/>
  <c r="HR137" i="7"/>
  <c r="HQ137" i="7"/>
  <c r="HP137" i="7"/>
  <c r="HO137" i="7"/>
  <c r="HN137" i="7"/>
  <c r="HM137" i="7"/>
  <c r="HL137" i="7"/>
  <c r="HK137" i="7"/>
  <c r="HJ137" i="7"/>
  <c r="HI137" i="7"/>
  <c r="HH137" i="7"/>
  <c r="HG137" i="7"/>
  <c r="HF137" i="7"/>
  <c r="HE137" i="7"/>
  <c r="HD137" i="7"/>
  <c r="HC137" i="7"/>
  <c r="HB137" i="7"/>
  <c r="HA137" i="7"/>
  <c r="GZ137" i="7"/>
  <c r="GY137" i="7"/>
  <c r="GX137" i="7"/>
  <c r="GW137" i="7"/>
  <c r="GV137" i="7"/>
  <c r="GU137" i="7"/>
  <c r="GT137" i="7"/>
  <c r="GS137" i="7"/>
  <c r="GR137" i="7"/>
  <c r="GQ137" i="7"/>
  <c r="GP137" i="7"/>
  <c r="GO137" i="7"/>
  <c r="GN137" i="7"/>
  <c r="GM137" i="7"/>
  <c r="GL137" i="7"/>
  <c r="GK137" i="7"/>
  <c r="GJ137" i="7"/>
  <c r="GI137" i="7"/>
  <c r="GH137" i="7"/>
  <c r="GG137" i="7"/>
  <c r="GF137" i="7"/>
  <c r="GE137" i="7"/>
  <c r="GD137" i="7"/>
  <c r="GC137" i="7"/>
  <c r="GB137" i="7"/>
  <c r="GA137" i="7"/>
  <c r="FZ137" i="7"/>
  <c r="FY137" i="7"/>
  <c r="FX137" i="7"/>
  <c r="FW137" i="7"/>
  <c r="FV137" i="7"/>
  <c r="FU137" i="7"/>
  <c r="FT137" i="7"/>
  <c r="FS137" i="7"/>
  <c r="FR137" i="7"/>
  <c r="FQ137" i="7"/>
  <c r="FP137" i="7"/>
  <c r="FO137" i="7"/>
  <c r="FN137" i="7"/>
  <c r="FM137" i="7"/>
  <c r="FL137" i="7"/>
  <c r="FK137" i="7"/>
  <c r="FJ137" i="7"/>
  <c r="FI137" i="7"/>
  <c r="FH137" i="7"/>
  <c r="FG137" i="7"/>
  <c r="FF137" i="7"/>
  <c r="FE137" i="7"/>
  <c r="FD137" i="7"/>
  <c r="FC137" i="7"/>
  <c r="FB137" i="7"/>
  <c r="FA137" i="7"/>
  <c r="EZ137" i="7"/>
  <c r="EY137" i="7"/>
  <c r="EX137" i="7"/>
  <c r="EW137" i="7"/>
  <c r="EV137" i="7"/>
  <c r="EU137" i="7"/>
  <c r="ET137" i="7"/>
  <c r="ES137" i="7"/>
  <c r="ER137" i="7"/>
  <c r="EQ137" i="7"/>
  <c r="EP137" i="7"/>
  <c r="EO137" i="7"/>
  <c r="EN137" i="7"/>
  <c r="EM137" i="7"/>
  <c r="EL137" i="7"/>
  <c r="EK137" i="7"/>
  <c r="EJ137" i="7"/>
  <c r="EI137" i="7"/>
  <c r="EH137" i="7"/>
  <c r="EG137" i="7"/>
  <c r="EF137" i="7"/>
  <c r="EE137" i="7"/>
  <c r="ED137" i="7"/>
  <c r="EC137" i="7"/>
  <c r="EB137" i="7"/>
  <c r="EA137" i="7"/>
  <c r="DZ137" i="7"/>
  <c r="DY137" i="7"/>
  <c r="DX137" i="7"/>
  <c r="DW137" i="7"/>
  <c r="DV137" i="7"/>
  <c r="DU137" i="7"/>
  <c r="DT137" i="7"/>
  <c r="DS137" i="7"/>
  <c r="DR137" i="7"/>
  <c r="DQ137" i="7"/>
  <c r="DP137" i="7"/>
  <c r="DO137" i="7"/>
  <c r="DN137" i="7"/>
  <c r="DM137" i="7"/>
  <c r="DL137" i="7"/>
  <c r="DK137" i="7"/>
  <c r="DJ137" i="7"/>
  <c r="DI137" i="7"/>
  <c r="DH137" i="7"/>
  <c r="DG137" i="7"/>
  <c r="DF137" i="7"/>
  <c r="DE137" i="7"/>
  <c r="DD137" i="7"/>
  <c r="DC137" i="7"/>
  <c r="DB137" i="7"/>
  <c r="DA137" i="7"/>
  <c r="CZ137" i="7"/>
  <c r="CY137" i="7"/>
  <c r="CX137" i="7"/>
  <c r="CW137" i="7"/>
  <c r="CV137" i="7"/>
  <c r="CU137" i="7"/>
  <c r="CT137" i="7"/>
  <c r="CS137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C137" i="7"/>
  <c r="B137" i="7"/>
  <c r="A137" i="7"/>
  <c r="IV136" i="7"/>
  <c r="IU136" i="7"/>
  <c r="IT136" i="7"/>
  <c r="IS136" i="7"/>
  <c r="IR136" i="7"/>
  <c r="IQ136" i="7"/>
  <c r="IP136" i="7"/>
  <c r="IO136" i="7"/>
  <c r="IN136" i="7"/>
  <c r="IM136" i="7"/>
  <c r="IL136" i="7"/>
  <c r="IK136" i="7"/>
  <c r="IJ136" i="7"/>
  <c r="II136" i="7"/>
  <c r="IH136" i="7"/>
  <c r="IG136" i="7"/>
  <c r="IF136" i="7"/>
  <c r="IE136" i="7"/>
  <c r="ID136" i="7"/>
  <c r="IC136" i="7"/>
  <c r="IB136" i="7"/>
  <c r="IA136" i="7"/>
  <c r="HZ136" i="7"/>
  <c r="HY136" i="7"/>
  <c r="HX136" i="7"/>
  <c r="HW136" i="7"/>
  <c r="HV136" i="7"/>
  <c r="HU136" i="7"/>
  <c r="HT136" i="7"/>
  <c r="HS136" i="7"/>
  <c r="HR136" i="7"/>
  <c r="HQ136" i="7"/>
  <c r="HP136" i="7"/>
  <c r="HO136" i="7"/>
  <c r="HN136" i="7"/>
  <c r="HM136" i="7"/>
  <c r="HL136" i="7"/>
  <c r="HK136" i="7"/>
  <c r="HJ136" i="7"/>
  <c r="HI136" i="7"/>
  <c r="HH136" i="7"/>
  <c r="HG136" i="7"/>
  <c r="HF136" i="7"/>
  <c r="HE136" i="7"/>
  <c r="HD136" i="7"/>
  <c r="HC136" i="7"/>
  <c r="HB136" i="7"/>
  <c r="HA136" i="7"/>
  <c r="GZ136" i="7"/>
  <c r="GY136" i="7"/>
  <c r="GX136" i="7"/>
  <c r="GW136" i="7"/>
  <c r="GV136" i="7"/>
  <c r="GU136" i="7"/>
  <c r="GT136" i="7"/>
  <c r="GS136" i="7"/>
  <c r="GR136" i="7"/>
  <c r="GQ136" i="7"/>
  <c r="GP136" i="7"/>
  <c r="GO136" i="7"/>
  <c r="GN136" i="7"/>
  <c r="GM136" i="7"/>
  <c r="GL136" i="7"/>
  <c r="GK136" i="7"/>
  <c r="GJ136" i="7"/>
  <c r="GI136" i="7"/>
  <c r="GH136" i="7"/>
  <c r="GG136" i="7"/>
  <c r="GF136" i="7"/>
  <c r="GE136" i="7"/>
  <c r="GD136" i="7"/>
  <c r="GC136" i="7"/>
  <c r="GB136" i="7"/>
  <c r="GA136" i="7"/>
  <c r="FZ136" i="7"/>
  <c r="FY136" i="7"/>
  <c r="FX136" i="7"/>
  <c r="FW136" i="7"/>
  <c r="FV136" i="7"/>
  <c r="FU136" i="7"/>
  <c r="FT136" i="7"/>
  <c r="FS136" i="7"/>
  <c r="FR136" i="7"/>
  <c r="FQ136" i="7"/>
  <c r="FP136" i="7"/>
  <c r="FO136" i="7"/>
  <c r="FN136" i="7"/>
  <c r="FM136" i="7"/>
  <c r="FL136" i="7"/>
  <c r="FK136" i="7"/>
  <c r="FJ136" i="7"/>
  <c r="FI136" i="7"/>
  <c r="FH136" i="7"/>
  <c r="FG136" i="7"/>
  <c r="FF136" i="7"/>
  <c r="FE136" i="7"/>
  <c r="FD136" i="7"/>
  <c r="FC136" i="7"/>
  <c r="FB136" i="7"/>
  <c r="FA136" i="7"/>
  <c r="EZ136" i="7"/>
  <c r="EY136" i="7"/>
  <c r="EX136" i="7"/>
  <c r="EW136" i="7"/>
  <c r="EV136" i="7"/>
  <c r="EU136" i="7"/>
  <c r="ET136" i="7"/>
  <c r="ES136" i="7"/>
  <c r="ER136" i="7"/>
  <c r="EQ136" i="7"/>
  <c r="EP136" i="7"/>
  <c r="EO136" i="7"/>
  <c r="EN136" i="7"/>
  <c r="EM136" i="7"/>
  <c r="EL136" i="7"/>
  <c r="EK136" i="7"/>
  <c r="EJ136" i="7"/>
  <c r="EI136" i="7"/>
  <c r="EH136" i="7"/>
  <c r="EG136" i="7"/>
  <c r="EF136" i="7"/>
  <c r="EE136" i="7"/>
  <c r="ED136" i="7"/>
  <c r="EC136" i="7"/>
  <c r="EB136" i="7"/>
  <c r="EA136" i="7"/>
  <c r="DZ136" i="7"/>
  <c r="DY136" i="7"/>
  <c r="DX136" i="7"/>
  <c r="DW136" i="7"/>
  <c r="DV136" i="7"/>
  <c r="DU136" i="7"/>
  <c r="DT136" i="7"/>
  <c r="DS136" i="7"/>
  <c r="DR136" i="7"/>
  <c r="DQ136" i="7"/>
  <c r="DP136" i="7"/>
  <c r="DO136" i="7"/>
  <c r="DN136" i="7"/>
  <c r="DM136" i="7"/>
  <c r="DL136" i="7"/>
  <c r="DK136" i="7"/>
  <c r="DJ136" i="7"/>
  <c r="DI136" i="7"/>
  <c r="DH136" i="7"/>
  <c r="DG136" i="7"/>
  <c r="DF136" i="7"/>
  <c r="DE136" i="7"/>
  <c r="DD136" i="7"/>
  <c r="DC136" i="7"/>
  <c r="DB136" i="7"/>
  <c r="DA136" i="7"/>
  <c r="CZ136" i="7"/>
  <c r="CY136" i="7"/>
  <c r="CX136" i="7"/>
  <c r="CW136" i="7"/>
  <c r="CV136" i="7"/>
  <c r="CU136" i="7"/>
  <c r="CT136" i="7"/>
  <c r="CS136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CB136" i="7"/>
  <c r="CA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J136" i="7"/>
  <c r="BI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R136" i="7"/>
  <c r="AQ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C136" i="7"/>
  <c r="B136" i="7"/>
  <c r="A136" i="7"/>
  <c r="IV135" i="7"/>
  <c r="IU135" i="7"/>
  <c r="IT135" i="7"/>
  <c r="IS135" i="7"/>
  <c r="IR135" i="7"/>
  <c r="IQ135" i="7"/>
  <c r="IP135" i="7"/>
  <c r="IO135" i="7"/>
  <c r="IN135" i="7"/>
  <c r="IM135" i="7"/>
  <c r="IL135" i="7"/>
  <c r="IK135" i="7"/>
  <c r="IJ135" i="7"/>
  <c r="II135" i="7"/>
  <c r="IH135" i="7"/>
  <c r="IG135" i="7"/>
  <c r="IF135" i="7"/>
  <c r="IE135" i="7"/>
  <c r="ID135" i="7"/>
  <c r="IC135" i="7"/>
  <c r="IB135" i="7"/>
  <c r="IA135" i="7"/>
  <c r="HZ135" i="7"/>
  <c r="HY135" i="7"/>
  <c r="HX135" i="7"/>
  <c r="HW135" i="7"/>
  <c r="HV135" i="7"/>
  <c r="HU135" i="7"/>
  <c r="HT135" i="7"/>
  <c r="HS135" i="7"/>
  <c r="HR135" i="7"/>
  <c r="HQ135" i="7"/>
  <c r="HP135" i="7"/>
  <c r="HO135" i="7"/>
  <c r="HN135" i="7"/>
  <c r="HM135" i="7"/>
  <c r="HL135" i="7"/>
  <c r="HK135" i="7"/>
  <c r="HJ135" i="7"/>
  <c r="HI135" i="7"/>
  <c r="HH135" i="7"/>
  <c r="HG135" i="7"/>
  <c r="HF135" i="7"/>
  <c r="HE135" i="7"/>
  <c r="HD135" i="7"/>
  <c r="HC135" i="7"/>
  <c r="HB135" i="7"/>
  <c r="HA135" i="7"/>
  <c r="GZ135" i="7"/>
  <c r="GY135" i="7"/>
  <c r="GX135" i="7"/>
  <c r="GW135" i="7"/>
  <c r="GV135" i="7"/>
  <c r="GU135" i="7"/>
  <c r="GT135" i="7"/>
  <c r="GS135" i="7"/>
  <c r="GR135" i="7"/>
  <c r="GQ135" i="7"/>
  <c r="GP135" i="7"/>
  <c r="GO135" i="7"/>
  <c r="GN135" i="7"/>
  <c r="GM135" i="7"/>
  <c r="GL135" i="7"/>
  <c r="GK135" i="7"/>
  <c r="GJ135" i="7"/>
  <c r="GI135" i="7"/>
  <c r="GH135" i="7"/>
  <c r="GG135" i="7"/>
  <c r="GF135" i="7"/>
  <c r="GE135" i="7"/>
  <c r="GD135" i="7"/>
  <c r="GC135" i="7"/>
  <c r="GB135" i="7"/>
  <c r="GA135" i="7"/>
  <c r="FZ135" i="7"/>
  <c r="FY135" i="7"/>
  <c r="FX135" i="7"/>
  <c r="FW135" i="7"/>
  <c r="FV135" i="7"/>
  <c r="FU135" i="7"/>
  <c r="FT135" i="7"/>
  <c r="FS135" i="7"/>
  <c r="FR135" i="7"/>
  <c r="FQ135" i="7"/>
  <c r="FP135" i="7"/>
  <c r="FO135" i="7"/>
  <c r="FN135" i="7"/>
  <c r="FM135" i="7"/>
  <c r="FL135" i="7"/>
  <c r="FK135" i="7"/>
  <c r="FJ135" i="7"/>
  <c r="FI135" i="7"/>
  <c r="FH135" i="7"/>
  <c r="FG135" i="7"/>
  <c r="FF135" i="7"/>
  <c r="FE135" i="7"/>
  <c r="FD135" i="7"/>
  <c r="FC135" i="7"/>
  <c r="FB135" i="7"/>
  <c r="FA135" i="7"/>
  <c r="EZ135" i="7"/>
  <c r="EY135" i="7"/>
  <c r="EX135" i="7"/>
  <c r="EW135" i="7"/>
  <c r="EV135" i="7"/>
  <c r="EU135" i="7"/>
  <c r="ET135" i="7"/>
  <c r="ES135" i="7"/>
  <c r="ER135" i="7"/>
  <c r="EQ135" i="7"/>
  <c r="EP135" i="7"/>
  <c r="EO135" i="7"/>
  <c r="EN135" i="7"/>
  <c r="EM135" i="7"/>
  <c r="EL135" i="7"/>
  <c r="EK135" i="7"/>
  <c r="EJ135" i="7"/>
  <c r="EI135" i="7"/>
  <c r="EH135" i="7"/>
  <c r="EG135" i="7"/>
  <c r="EF135" i="7"/>
  <c r="EE135" i="7"/>
  <c r="ED135" i="7"/>
  <c r="EC135" i="7"/>
  <c r="EB135" i="7"/>
  <c r="EA135" i="7"/>
  <c r="DZ135" i="7"/>
  <c r="DY135" i="7"/>
  <c r="DX135" i="7"/>
  <c r="DW135" i="7"/>
  <c r="DV135" i="7"/>
  <c r="DU135" i="7"/>
  <c r="DT135" i="7"/>
  <c r="DS135" i="7"/>
  <c r="DR135" i="7"/>
  <c r="DQ135" i="7"/>
  <c r="DP135" i="7"/>
  <c r="DO135" i="7"/>
  <c r="DN135" i="7"/>
  <c r="DM135" i="7"/>
  <c r="DL135" i="7"/>
  <c r="DK135" i="7"/>
  <c r="DJ135" i="7"/>
  <c r="DI135" i="7"/>
  <c r="DH135" i="7"/>
  <c r="DG135" i="7"/>
  <c r="DF135" i="7"/>
  <c r="DE135" i="7"/>
  <c r="DD135" i="7"/>
  <c r="DC135" i="7"/>
  <c r="DB135" i="7"/>
  <c r="DA135" i="7"/>
  <c r="CZ135" i="7"/>
  <c r="CY135" i="7"/>
  <c r="CX135" i="7"/>
  <c r="CW135" i="7"/>
  <c r="CV135" i="7"/>
  <c r="CU135" i="7"/>
  <c r="CT135" i="7"/>
  <c r="CS135" i="7"/>
  <c r="CR135" i="7"/>
  <c r="CQ135" i="7"/>
  <c r="CP135" i="7"/>
  <c r="CO135" i="7"/>
  <c r="CN135" i="7"/>
  <c r="CM135" i="7"/>
  <c r="CL135" i="7"/>
  <c r="CK135" i="7"/>
  <c r="CJ135" i="7"/>
  <c r="CI135" i="7"/>
  <c r="CH135" i="7"/>
  <c r="CG135" i="7"/>
  <c r="CF135" i="7"/>
  <c r="CE135" i="7"/>
  <c r="CD135" i="7"/>
  <c r="CC135" i="7"/>
  <c r="CB135" i="7"/>
  <c r="CA135" i="7"/>
  <c r="BZ135" i="7"/>
  <c r="BY135" i="7"/>
  <c r="BX135" i="7"/>
  <c r="BW135" i="7"/>
  <c r="BV135" i="7"/>
  <c r="BU135" i="7"/>
  <c r="BT135" i="7"/>
  <c r="BS135" i="7"/>
  <c r="BR135" i="7"/>
  <c r="BQ135" i="7"/>
  <c r="BP135" i="7"/>
  <c r="BO135" i="7"/>
  <c r="BN135" i="7"/>
  <c r="BM135" i="7"/>
  <c r="BL135" i="7"/>
  <c r="BK135" i="7"/>
  <c r="BJ135" i="7"/>
  <c r="BI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R135" i="7"/>
  <c r="AQ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R135" i="7"/>
  <c r="Q135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B135" i="7"/>
  <c r="A135" i="7"/>
  <c r="IV134" i="7"/>
  <c r="IU134" i="7"/>
  <c r="IT134" i="7"/>
  <c r="IS134" i="7"/>
  <c r="IR134" i="7"/>
  <c r="IQ134" i="7"/>
  <c r="IP134" i="7"/>
  <c r="IO134" i="7"/>
  <c r="IN134" i="7"/>
  <c r="IM134" i="7"/>
  <c r="IL134" i="7"/>
  <c r="IK134" i="7"/>
  <c r="IJ134" i="7"/>
  <c r="II134" i="7"/>
  <c r="IH134" i="7"/>
  <c r="IG134" i="7"/>
  <c r="IF134" i="7"/>
  <c r="IE134" i="7"/>
  <c r="ID134" i="7"/>
  <c r="IC134" i="7"/>
  <c r="IB134" i="7"/>
  <c r="IA134" i="7"/>
  <c r="HZ134" i="7"/>
  <c r="HY134" i="7"/>
  <c r="HX134" i="7"/>
  <c r="HW134" i="7"/>
  <c r="HV134" i="7"/>
  <c r="HU134" i="7"/>
  <c r="HT134" i="7"/>
  <c r="HS134" i="7"/>
  <c r="HR134" i="7"/>
  <c r="HQ134" i="7"/>
  <c r="HP134" i="7"/>
  <c r="HO134" i="7"/>
  <c r="HN134" i="7"/>
  <c r="HM134" i="7"/>
  <c r="HL134" i="7"/>
  <c r="HK134" i="7"/>
  <c r="HJ134" i="7"/>
  <c r="HI134" i="7"/>
  <c r="HH134" i="7"/>
  <c r="HG134" i="7"/>
  <c r="HF134" i="7"/>
  <c r="HE134" i="7"/>
  <c r="HD134" i="7"/>
  <c r="HC134" i="7"/>
  <c r="HB134" i="7"/>
  <c r="HA134" i="7"/>
  <c r="GZ134" i="7"/>
  <c r="GY134" i="7"/>
  <c r="GX134" i="7"/>
  <c r="GW134" i="7"/>
  <c r="GV134" i="7"/>
  <c r="GU134" i="7"/>
  <c r="GT134" i="7"/>
  <c r="GS134" i="7"/>
  <c r="GR134" i="7"/>
  <c r="GQ134" i="7"/>
  <c r="GP134" i="7"/>
  <c r="GO134" i="7"/>
  <c r="GN134" i="7"/>
  <c r="GM134" i="7"/>
  <c r="GL134" i="7"/>
  <c r="GK134" i="7"/>
  <c r="GJ134" i="7"/>
  <c r="GI134" i="7"/>
  <c r="GH134" i="7"/>
  <c r="GG134" i="7"/>
  <c r="GF134" i="7"/>
  <c r="GE134" i="7"/>
  <c r="GD134" i="7"/>
  <c r="GC134" i="7"/>
  <c r="GB134" i="7"/>
  <c r="GA134" i="7"/>
  <c r="FZ134" i="7"/>
  <c r="FY134" i="7"/>
  <c r="FX134" i="7"/>
  <c r="FW134" i="7"/>
  <c r="FV134" i="7"/>
  <c r="FU134" i="7"/>
  <c r="FT134" i="7"/>
  <c r="FS134" i="7"/>
  <c r="FR134" i="7"/>
  <c r="FQ134" i="7"/>
  <c r="FP134" i="7"/>
  <c r="FO134" i="7"/>
  <c r="FN134" i="7"/>
  <c r="FM134" i="7"/>
  <c r="FL134" i="7"/>
  <c r="FK134" i="7"/>
  <c r="FJ134" i="7"/>
  <c r="FI134" i="7"/>
  <c r="FH134" i="7"/>
  <c r="FG134" i="7"/>
  <c r="FF134" i="7"/>
  <c r="FE134" i="7"/>
  <c r="FD134" i="7"/>
  <c r="FC134" i="7"/>
  <c r="FB134" i="7"/>
  <c r="FA134" i="7"/>
  <c r="EZ134" i="7"/>
  <c r="EY134" i="7"/>
  <c r="EX134" i="7"/>
  <c r="EW134" i="7"/>
  <c r="EV134" i="7"/>
  <c r="EU134" i="7"/>
  <c r="ET134" i="7"/>
  <c r="ES134" i="7"/>
  <c r="ER134" i="7"/>
  <c r="EQ134" i="7"/>
  <c r="EP134" i="7"/>
  <c r="EO134" i="7"/>
  <c r="EN134" i="7"/>
  <c r="EM134" i="7"/>
  <c r="EL134" i="7"/>
  <c r="EK134" i="7"/>
  <c r="EJ134" i="7"/>
  <c r="EI134" i="7"/>
  <c r="EH134" i="7"/>
  <c r="EG134" i="7"/>
  <c r="EF134" i="7"/>
  <c r="EE134" i="7"/>
  <c r="ED134" i="7"/>
  <c r="EC134" i="7"/>
  <c r="EB134" i="7"/>
  <c r="EA134" i="7"/>
  <c r="DZ134" i="7"/>
  <c r="DY134" i="7"/>
  <c r="DX134" i="7"/>
  <c r="DW134" i="7"/>
  <c r="DV134" i="7"/>
  <c r="DU134" i="7"/>
  <c r="DT134" i="7"/>
  <c r="DS134" i="7"/>
  <c r="DR134" i="7"/>
  <c r="DQ134" i="7"/>
  <c r="DP134" i="7"/>
  <c r="DO134" i="7"/>
  <c r="DN134" i="7"/>
  <c r="DM134" i="7"/>
  <c r="DL134" i="7"/>
  <c r="DK134" i="7"/>
  <c r="DJ134" i="7"/>
  <c r="DI134" i="7"/>
  <c r="DH134" i="7"/>
  <c r="DG134" i="7"/>
  <c r="DF134" i="7"/>
  <c r="DE134" i="7"/>
  <c r="DD134" i="7"/>
  <c r="DC134" i="7"/>
  <c r="DB134" i="7"/>
  <c r="DA134" i="7"/>
  <c r="CZ134" i="7"/>
  <c r="CY134" i="7"/>
  <c r="CX134" i="7"/>
  <c r="CW134" i="7"/>
  <c r="CV134" i="7"/>
  <c r="CU134" i="7"/>
  <c r="CT134" i="7"/>
  <c r="CS134" i="7"/>
  <c r="CR134" i="7"/>
  <c r="CQ134" i="7"/>
  <c r="CP134" i="7"/>
  <c r="CO134" i="7"/>
  <c r="CN134" i="7"/>
  <c r="CM134" i="7"/>
  <c r="CL134" i="7"/>
  <c r="CK134" i="7"/>
  <c r="CJ134" i="7"/>
  <c r="CI134" i="7"/>
  <c r="CH134" i="7"/>
  <c r="CG134" i="7"/>
  <c r="CF134" i="7"/>
  <c r="CE134" i="7"/>
  <c r="CD134" i="7"/>
  <c r="CC134" i="7"/>
  <c r="CB134" i="7"/>
  <c r="CA134" i="7"/>
  <c r="BZ134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J134" i="7"/>
  <c r="BI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C134" i="7"/>
  <c r="B134" i="7"/>
  <c r="A134" i="7"/>
  <c r="IV133" i="7"/>
  <c r="IU133" i="7"/>
  <c r="IT133" i="7"/>
  <c r="IS133" i="7"/>
  <c r="IR133" i="7"/>
  <c r="IQ133" i="7"/>
  <c r="IP133" i="7"/>
  <c r="IO133" i="7"/>
  <c r="IN133" i="7"/>
  <c r="IM133" i="7"/>
  <c r="IL133" i="7"/>
  <c r="IK133" i="7"/>
  <c r="IJ133" i="7"/>
  <c r="II133" i="7"/>
  <c r="IH133" i="7"/>
  <c r="IG133" i="7"/>
  <c r="IF133" i="7"/>
  <c r="IE133" i="7"/>
  <c r="ID133" i="7"/>
  <c r="IC133" i="7"/>
  <c r="IB133" i="7"/>
  <c r="IA133" i="7"/>
  <c r="HZ133" i="7"/>
  <c r="HY133" i="7"/>
  <c r="HX133" i="7"/>
  <c r="HW133" i="7"/>
  <c r="HV133" i="7"/>
  <c r="HU133" i="7"/>
  <c r="HT133" i="7"/>
  <c r="HS133" i="7"/>
  <c r="HR133" i="7"/>
  <c r="HQ133" i="7"/>
  <c r="HP133" i="7"/>
  <c r="HO133" i="7"/>
  <c r="HN133" i="7"/>
  <c r="HM133" i="7"/>
  <c r="HL133" i="7"/>
  <c r="HK133" i="7"/>
  <c r="HJ133" i="7"/>
  <c r="HI133" i="7"/>
  <c r="HH133" i="7"/>
  <c r="HG133" i="7"/>
  <c r="HF133" i="7"/>
  <c r="HE133" i="7"/>
  <c r="HD133" i="7"/>
  <c r="HC133" i="7"/>
  <c r="HB133" i="7"/>
  <c r="HA133" i="7"/>
  <c r="GZ133" i="7"/>
  <c r="GY133" i="7"/>
  <c r="GX133" i="7"/>
  <c r="GW133" i="7"/>
  <c r="GV133" i="7"/>
  <c r="GU133" i="7"/>
  <c r="GT133" i="7"/>
  <c r="GS133" i="7"/>
  <c r="GR133" i="7"/>
  <c r="GQ133" i="7"/>
  <c r="GP133" i="7"/>
  <c r="GO133" i="7"/>
  <c r="GN133" i="7"/>
  <c r="GM133" i="7"/>
  <c r="GL133" i="7"/>
  <c r="GK133" i="7"/>
  <c r="GJ133" i="7"/>
  <c r="GI133" i="7"/>
  <c r="GH133" i="7"/>
  <c r="GG133" i="7"/>
  <c r="GF133" i="7"/>
  <c r="GE133" i="7"/>
  <c r="GD133" i="7"/>
  <c r="GC133" i="7"/>
  <c r="GB133" i="7"/>
  <c r="GA133" i="7"/>
  <c r="FZ133" i="7"/>
  <c r="FY133" i="7"/>
  <c r="FX133" i="7"/>
  <c r="FW133" i="7"/>
  <c r="FV133" i="7"/>
  <c r="FU133" i="7"/>
  <c r="FT133" i="7"/>
  <c r="FS133" i="7"/>
  <c r="FR133" i="7"/>
  <c r="FQ133" i="7"/>
  <c r="FP133" i="7"/>
  <c r="FO133" i="7"/>
  <c r="FN133" i="7"/>
  <c r="FM133" i="7"/>
  <c r="FL133" i="7"/>
  <c r="FK133" i="7"/>
  <c r="FJ133" i="7"/>
  <c r="FI133" i="7"/>
  <c r="FH133" i="7"/>
  <c r="FG133" i="7"/>
  <c r="FF133" i="7"/>
  <c r="FE133" i="7"/>
  <c r="FD133" i="7"/>
  <c r="FC133" i="7"/>
  <c r="FB133" i="7"/>
  <c r="FA133" i="7"/>
  <c r="EZ133" i="7"/>
  <c r="EY133" i="7"/>
  <c r="EX133" i="7"/>
  <c r="EW133" i="7"/>
  <c r="EV133" i="7"/>
  <c r="EU133" i="7"/>
  <c r="ET133" i="7"/>
  <c r="ES133" i="7"/>
  <c r="ER133" i="7"/>
  <c r="EQ133" i="7"/>
  <c r="EP133" i="7"/>
  <c r="EO133" i="7"/>
  <c r="EN133" i="7"/>
  <c r="EM133" i="7"/>
  <c r="EL133" i="7"/>
  <c r="EK133" i="7"/>
  <c r="EJ133" i="7"/>
  <c r="EI133" i="7"/>
  <c r="EH133" i="7"/>
  <c r="EG133" i="7"/>
  <c r="EF133" i="7"/>
  <c r="EE133" i="7"/>
  <c r="ED133" i="7"/>
  <c r="EC133" i="7"/>
  <c r="EB133" i="7"/>
  <c r="EA133" i="7"/>
  <c r="DZ133" i="7"/>
  <c r="DY133" i="7"/>
  <c r="DX133" i="7"/>
  <c r="DW133" i="7"/>
  <c r="DV133" i="7"/>
  <c r="DU133" i="7"/>
  <c r="DT133" i="7"/>
  <c r="DS133" i="7"/>
  <c r="DR133" i="7"/>
  <c r="DQ133" i="7"/>
  <c r="DP133" i="7"/>
  <c r="DO133" i="7"/>
  <c r="DN133" i="7"/>
  <c r="DM133" i="7"/>
  <c r="DL133" i="7"/>
  <c r="DK133" i="7"/>
  <c r="DJ133" i="7"/>
  <c r="DI133" i="7"/>
  <c r="DH133" i="7"/>
  <c r="DG133" i="7"/>
  <c r="DF133" i="7"/>
  <c r="DE133" i="7"/>
  <c r="DD133" i="7"/>
  <c r="DC133" i="7"/>
  <c r="DB133" i="7"/>
  <c r="DA133" i="7"/>
  <c r="CZ133" i="7"/>
  <c r="CY133" i="7"/>
  <c r="CX133" i="7"/>
  <c r="CW133" i="7"/>
  <c r="CV133" i="7"/>
  <c r="CU133" i="7"/>
  <c r="CT133" i="7"/>
  <c r="CS133" i="7"/>
  <c r="CR133" i="7"/>
  <c r="CQ133" i="7"/>
  <c r="CP133" i="7"/>
  <c r="CO133" i="7"/>
  <c r="CN133" i="7"/>
  <c r="CM133" i="7"/>
  <c r="CL133" i="7"/>
  <c r="CK133" i="7"/>
  <c r="CJ133" i="7"/>
  <c r="CI133" i="7"/>
  <c r="CH133" i="7"/>
  <c r="CG133" i="7"/>
  <c r="CF133" i="7"/>
  <c r="CE133" i="7"/>
  <c r="CD133" i="7"/>
  <c r="CC133" i="7"/>
  <c r="CB133" i="7"/>
  <c r="CA133" i="7"/>
  <c r="BZ133" i="7"/>
  <c r="BY133" i="7"/>
  <c r="BX133" i="7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A133" i="7"/>
  <c r="IV132" i="7"/>
  <c r="IU132" i="7"/>
  <c r="IT132" i="7"/>
  <c r="IS132" i="7"/>
  <c r="IR132" i="7"/>
  <c r="IQ132" i="7"/>
  <c r="IP132" i="7"/>
  <c r="IO132" i="7"/>
  <c r="IN132" i="7"/>
  <c r="IM132" i="7"/>
  <c r="IL132" i="7"/>
  <c r="IK132" i="7"/>
  <c r="IJ132" i="7"/>
  <c r="II132" i="7"/>
  <c r="IH132" i="7"/>
  <c r="IG132" i="7"/>
  <c r="IF132" i="7"/>
  <c r="IE132" i="7"/>
  <c r="ID132" i="7"/>
  <c r="IC132" i="7"/>
  <c r="IB132" i="7"/>
  <c r="IA132" i="7"/>
  <c r="HZ132" i="7"/>
  <c r="HY132" i="7"/>
  <c r="HX132" i="7"/>
  <c r="HW132" i="7"/>
  <c r="HV132" i="7"/>
  <c r="HU132" i="7"/>
  <c r="HT132" i="7"/>
  <c r="HS132" i="7"/>
  <c r="HR132" i="7"/>
  <c r="HQ132" i="7"/>
  <c r="HP132" i="7"/>
  <c r="HO132" i="7"/>
  <c r="HN132" i="7"/>
  <c r="HM132" i="7"/>
  <c r="HL132" i="7"/>
  <c r="HK132" i="7"/>
  <c r="HJ132" i="7"/>
  <c r="HI132" i="7"/>
  <c r="HH132" i="7"/>
  <c r="HG132" i="7"/>
  <c r="HF132" i="7"/>
  <c r="HE132" i="7"/>
  <c r="HD132" i="7"/>
  <c r="HC132" i="7"/>
  <c r="HB132" i="7"/>
  <c r="HA132" i="7"/>
  <c r="GZ132" i="7"/>
  <c r="GY132" i="7"/>
  <c r="GX132" i="7"/>
  <c r="GW132" i="7"/>
  <c r="GV132" i="7"/>
  <c r="GU132" i="7"/>
  <c r="GT132" i="7"/>
  <c r="GS132" i="7"/>
  <c r="GR132" i="7"/>
  <c r="GQ132" i="7"/>
  <c r="GP132" i="7"/>
  <c r="GO132" i="7"/>
  <c r="GN132" i="7"/>
  <c r="GM132" i="7"/>
  <c r="GL132" i="7"/>
  <c r="GK132" i="7"/>
  <c r="GJ132" i="7"/>
  <c r="GI132" i="7"/>
  <c r="GH132" i="7"/>
  <c r="GG132" i="7"/>
  <c r="GF132" i="7"/>
  <c r="GE132" i="7"/>
  <c r="GD132" i="7"/>
  <c r="GC132" i="7"/>
  <c r="GB132" i="7"/>
  <c r="GA132" i="7"/>
  <c r="FZ132" i="7"/>
  <c r="FY132" i="7"/>
  <c r="FX132" i="7"/>
  <c r="FW132" i="7"/>
  <c r="FV132" i="7"/>
  <c r="FU132" i="7"/>
  <c r="FT132" i="7"/>
  <c r="FS132" i="7"/>
  <c r="FR132" i="7"/>
  <c r="FQ132" i="7"/>
  <c r="FP132" i="7"/>
  <c r="FO132" i="7"/>
  <c r="FN132" i="7"/>
  <c r="FM132" i="7"/>
  <c r="FL132" i="7"/>
  <c r="FK132" i="7"/>
  <c r="FJ132" i="7"/>
  <c r="FI132" i="7"/>
  <c r="FH132" i="7"/>
  <c r="FG132" i="7"/>
  <c r="FF132" i="7"/>
  <c r="FE132" i="7"/>
  <c r="FD132" i="7"/>
  <c r="FC132" i="7"/>
  <c r="FB132" i="7"/>
  <c r="FA132" i="7"/>
  <c r="EZ132" i="7"/>
  <c r="EY132" i="7"/>
  <c r="EX132" i="7"/>
  <c r="EW132" i="7"/>
  <c r="EV132" i="7"/>
  <c r="EU132" i="7"/>
  <c r="ET132" i="7"/>
  <c r="ES132" i="7"/>
  <c r="ER132" i="7"/>
  <c r="EQ132" i="7"/>
  <c r="EP132" i="7"/>
  <c r="EO132" i="7"/>
  <c r="EN132" i="7"/>
  <c r="EM132" i="7"/>
  <c r="EL132" i="7"/>
  <c r="EK132" i="7"/>
  <c r="EJ132" i="7"/>
  <c r="EI132" i="7"/>
  <c r="EH132" i="7"/>
  <c r="EG132" i="7"/>
  <c r="EF132" i="7"/>
  <c r="EE132" i="7"/>
  <c r="ED132" i="7"/>
  <c r="EC132" i="7"/>
  <c r="EB132" i="7"/>
  <c r="EA132" i="7"/>
  <c r="DZ132" i="7"/>
  <c r="DY132" i="7"/>
  <c r="DX132" i="7"/>
  <c r="DW132" i="7"/>
  <c r="DV132" i="7"/>
  <c r="DU132" i="7"/>
  <c r="DT132" i="7"/>
  <c r="DS132" i="7"/>
  <c r="DR132" i="7"/>
  <c r="DQ132" i="7"/>
  <c r="DP132" i="7"/>
  <c r="DO132" i="7"/>
  <c r="DN132" i="7"/>
  <c r="DM132" i="7"/>
  <c r="DL132" i="7"/>
  <c r="DK132" i="7"/>
  <c r="DJ132" i="7"/>
  <c r="DI132" i="7"/>
  <c r="DH132" i="7"/>
  <c r="DG132" i="7"/>
  <c r="DF132" i="7"/>
  <c r="DE132" i="7"/>
  <c r="DD132" i="7"/>
  <c r="DC132" i="7"/>
  <c r="DB132" i="7"/>
  <c r="DA132" i="7"/>
  <c r="CZ132" i="7"/>
  <c r="CY132" i="7"/>
  <c r="CX132" i="7"/>
  <c r="CW132" i="7"/>
  <c r="CV132" i="7"/>
  <c r="CU132" i="7"/>
  <c r="CT132" i="7"/>
  <c r="CS132" i="7"/>
  <c r="CR132" i="7"/>
  <c r="CQ132" i="7"/>
  <c r="CP132" i="7"/>
  <c r="CO132" i="7"/>
  <c r="CN132" i="7"/>
  <c r="CM132" i="7"/>
  <c r="CL132" i="7"/>
  <c r="CK132" i="7"/>
  <c r="CJ132" i="7"/>
  <c r="CI132" i="7"/>
  <c r="CH132" i="7"/>
  <c r="CG132" i="7"/>
  <c r="CF132" i="7"/>
  <c r="CE132" i="7"/>
  <c r="CD132" i="7"/>
  <c r="CC132" i="7"/>
  <c r="CB132" i="7"/>
  <c r="CA132" i="7"/>
  <c r="BZ132" i="7"/>
  <c r="BY132" i="7"/>
  <c r="BX132" i="7"/>
  <c r="BW132" i="7"/>
  <c r="BV132" i="7"/>
  <c r="BU132" i="7"/>
  <c r="BT132" i="7"/>
  <c r="BS132" i="7"/>
  <c r="BR132" i="7"/>
  <c r="BQ132" i="7"/>
  <c r="BP132" i="7"/>
  <c r="BO132" i="7"/>
  <c r="BN132" i="7"/>
  <c r="BM132" i="7"/>
  <c r="BL132" i="7"/>
  <c r="BK132" i="7"/>
  <c r="BJ132" i="7"/>
  <c r="BI132" i="7"/>
  <c r="BH132" i="7"/>
  <c r="BG132" i="7"/>
  <c r="BF132" i="7"/>
  <c r="BE132" i="7"/>
  <c r="BD132" i="7"/>
  <c r="BC132" i="7"/>
  <c r="BB132" i="7"/>
  <c r="BA132" i="7"/>
  <c r="AZ132" i="7"/>
  <c r="AY132" i="7"/>
  <c r="AX132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132" i="7"/>
  <c r="A132" i="7"/>
  <c r="IV131" i="7"/>
  <c r="IU131" i="7"/>
  <c r="IT131" i="7"/>
  <c r="IS131" i="7"/>
  <c r="IR131" i="7"/>
  <c r="IQ131" i="7"/>
  <c r="IP131" i="7"/>
  <c r="IO131" i="7"/>
  <c r="IN131" i="7"/>
  <c r="IM131" i="7"/>
  <c r="IL131" i="7"/>
  <c r="IK131" i="7"/>
  <c r="IJ131" i="7"/>
  <c r="II131" i="7"/>
  <c r="IH131" i="7"/>
  <c r="IG131" i="7"/>
  <c r="IF131" i="7"/>
  <c r="IE131" i="7"/>
  <c r="ID131" i="7"/>
  <c r="IC131" i="7"/>
  <c r="IB131" i="7"/>
  <c r="IA131" i="7"/>
  <c r="HZ131" i="7"/>
  <c r="HY131" i="7"/>
  <c r="HX131" i="7"/>
  <c r="HW131" i="7"/>
  <c r="HV131" i="7"/>
  <c r="HU131" i="7"/>
  <c r="HT131" i="7"/>
  <c r="HS131" i="7"/>
  <c r="HR131" i="7"/>
  <c r="HQ131" i="7"/>
  <c r="HP131" i="7"/>
  <c r="HO131" i="7"/>
  <c r="HN131" i="7"/>
  <c r="HM131" i="7"/>
  <c r="HL131" i="7"/>
  <c r="HK131" i="7"/>
  <c r="HJ131" i="7"/>
  <c r="HI131" i="7"/>
  <c r="HH131" i="7"/>
  <c r="HG131" i="7"/>
  <c r="HF131" i="7"/>
  <c r="HE131" i="7"/>
  <c r="HD131" i="7"/>
  <c r="HC131" i="7"/>
  <c r="HB131" i="7"/>
  <c r="HA131" i="7"/>
  <c r="GZ131" i="7"/>
  <c r="GY131" i="7"/>
  <c r="GX131" i="7"/>
  <c r="GW131" i="7"/>
  <c r="GV131" i="7"/>
  <c r="GU131" i="7"/>
  <c r="GT131" i="7"/>
  <c r="GS131" i="7"/>
  <c r="GR131" i="7"/>
  <c r="GQ131" i="7"/>
  <c r="GP131" i="7"/>
  <c r="GO131" i="7"/>
  <c r="GN131" i="7"/>
  <c r="GM131" i="7"/>
  <c r="GL131" i="7"/>
  <c r="GK131" i="7"/>
  <c r="GJ131" i="7"/>
  <c r="GI131" i="7"/>
  <c r="GH131" i="7"/>
  <c r="GG131" i="7"/>
  <c r="GF131" i="7"/>
  <c r="GE131" i="7"/>
  <c r="GD131" i="7"/>
  <c r="GC131" i="7"/>
  <c r="GB131" i="7"/>
  <c r="GA131" i="7"/>
  <c r="FZ131" i="7"/>
  <c r="FY131" i="7"/>
  <c r="FX131" i="7"/>
  <c r="FW131" i="7"/>
  <c r="FV131" i="7"/>
  <c r="FU131" i="7"/>
  <c r="FT131" i="7"/>
  <c r="FS131" i="7"/>
  <c r="FR131" i="7"/>
  <c r="FQ131" i="7"/>
  <c r="FP131" i="7"/>
  <c r="FO131" i="7"/>
  <c r="FN131" i="7"/>
  <c r="FM131" i="7"/>
  <c r="FL131" i="7"/>
  <c r="FK131" i="7"/>
  <c r="FJ131" i="7"/>
  <c r="FI131" i="7"/>
  <c r="FH131" i="7"/>
  <c r="FG131" i="7"/>
  <c r="FF131" i="7"/>
  <c r="FE131" i="7"/>
  <c r="FD131" i="7"/>
  <c r="FC131" i="7"/>
  <c r="FB131" i="7"/>
  <c r="FA131" i="7"/>
  <c r="EZ131" i="7"/>
  <c r="EY131" i="7"/>
  <c r="EX131" i="7"/>
  <c r="EW131" i="7"/>
  <c r="EV131" i="7"/>
  <c r="EU131" i="7"/>
  <c r="ET131" i="7"/>
  <c r="ES131" i="7"/>
  <c r="ER131" i="7"/>
  <c r="EQ131" i="7"/>
  <c r="EP131" i="7"/>
  <c r="EO131" i="7"/>
  <c r="EN131" i="7"/>
  <c r="EM131" i="7"/>
  <c r="EL131" i="7"/>
  <c r="EK131" i="7"/>
  <c r="EJ131" i="7"/>
  <c r="EI131" i="7"/>
  <c r="EH131" i="7"/>
  <c r="EG131" i="7"/>
  <c r="EF131" i="7"/>
  <c r="EE131" i="7"/>
  <c r="ED131" i="7"/>
  <c r="EC131" i="7"/>
  <c r="EB131" i="7"/>
  <c r="EA131" i="7"/>
  <c r="DZ131" i="7"/>
  <c r="DY131" i="7"/>
  <c r="DX131" i="7"/>
  <c r="DW131" i="7"/>
  <c r="DV131" i="7"/>
  <c r="DU131" i="7"/>
  <c r="DT131" i="7"/>
  <c r="DS131" i="7"/>
  <c r="DR131" i="7"/>
  <c r="DQ131" i="7"/>
  <c r="DP131" i="7"/>
  <c r="DO131" i="7"/>
  <c r="DN131" i="7"/>
  <c r="DM131" i="7"/>
  <c r="DL131" i="7"/>
  <c r="DK131" i="7"/>
  <c r="DJ131" i="7"/>
  <c r="DI131" i="7"/>
  <c r="DH131" i="7"/>
  <c r="DG131" i="7"/>
  <c r="DF131" i="7"/>
  <c r="DE131" i="7"/>
  <c r="DD131" i="7"/>
  <c r="DC131" i="7"/>
  <c r="DB131" i="7"/>
  <c r="DA131" i="7"/>
  <c r="CZ131" i="7"/>
  <c r="CY131" i="7"/>
  <c r="CX131" i="7"/>
  <c r="CW131" i="7"/>
  <c r="CV131" i="7"/>
  <c r="CU131" i="7"/>
  <c r="CT131" i="7"/>
  <c r="CS131" i="7"/>
  <c r="CR131" i="7"/>
  <c r="CQ131" i="7"/>
  <c r="CP131" i="7"/>
  <c r="CO131" i="7"/>
  <c r="CN131" i="7"/>
  <c r="CM131" i="7"/>
  <c r="CL131" i="7"/>
  <c r="CK131" i="7"/>
  <c r="CJ131" i="7"/>
  <c r="CI131" i="7"/>
  <c r="CH131" i="7"/>
  <c r="CG131" i="7"/>
  <c r="CF131" i="7"/>
  <c r="CE131" i="7"/>
  <c r="CD131" i="7"/>
  <c r="CC131" i="7"/>
  <c r="CB131" i="7"/>
  <c r="CA131" i="7"/>
  <c r="BZ131" i="7"/>
  <c r="BY131" i="7"/>
  <c r="BX131" i="7"/>
  <c r="BW131" i="7"/>
  <c r="BV131" i="7"/>
  <c r="BU131" i="7"/>
  <c r="BT131" i="7"/>
  <c r="BS131" i="7"/>
  <c r="BR131" i="7"/>
  <c r="BQ131" i="7"/>
  <c r="BP131" i="7"/>
  <c r="BO131" i="7"/>
  <c r="BN131" i="7"/>
  <c r="BM131" i="7"/>
  <c r="BL131" i="7"/>
  <c r="BK131" i="7"/>
  <c r="BJ131" i="7"/>
  <c r="BI131" i="7"/>
  <c r="BH131" i="7"/>
  <c r="BG131" i="7"/>
  <c r="BF131" i="7"/>
  <c r="BE131" i="7"/>
  <c r="BD131" i="7"/>
  <c r="BC131" i="7"/>
  <c r="BB131" i="7"/>
  <c r="BA131" i="7"/>
  <c r="AZ131" i="7"/>
  <c r="AY131" i="7"/>
  <c r="AX131" i="7"/>
  <c r="AW131" i="7"/>
  <c r="AV131" i="7"/>
  <c r="AU131" i="7"/>
  <c r="AT131" i="7"/>
  <c r="AS131" i="7"/>
  <c r="AR131" i="7"/>
  <c r="AQ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C131" i="7"/>
  <c r="B131" i="7"/>
  <c r="A131" i="7"/>
  <c r="IV130" i="7"/>
  <c r="IU130" i="7"/>
  <c r="IT130" i="7"/>
  <c r="IS130" i="7"/>
  <c r="IR130" i="7"/>
  <c r="IQ130" i="7"/>
  <c r="IP130" i="7"/>
  <c r="IO130" i="7"/>
  <c r="IN130" i="7"/>
  <c r="IM130" i="7"/>
  <c r="IL130" i="7"/>
  <c r="IK130" i="7"/>
  <c r="IJ130" i="7"/>
  <c r="II130" i="7"/>
  <c r="IH130" i="7"/>
  <c r="IG130" i="7"/>
  <c r="IF130" i="7"/>
  <c r="IE130" i="7"/>
  <c r="ID130" i="7"/>
  <c r="IC130" i="7"/>
  <c r="IB130" i="7"/>
  <c r="IA130" i="7"/>
  <c r="HZ130" i="7"/>
  <c r="HY130" i="7"/>
  <c r="HX130" i="7"/>
  <c r="HW130" i="7"/>
  <c r="HV130" i="7"/>
  <c r="HU130" i="7"/>
  <c r="HT130" i="7"/>
  <c r="HS130" i="7"/>
  <c r="HR130" i="7"/>
  <c r="HQ130" i="7"/>
  <c r="HP130" i="7"/>
  <c r="HO130" i="7"/>
  <c r="HN130" i="7"/>
  <c r="HM130" i="7"/>
  <c r="HL130" i="7"/>
  <c r="HK130" i="7"/>
  <c r="HJ130" i="7"/>
  <c r="HI130" i="7"/>
  <c r="HH130" i="7"/>
  <c r="HG130" i="7"/>
  <c r="HF130" i="7"/>
  <c r="HE130" i="7"/>
  <c r="HD130" i="7"/>
  <c r="HC130" i="7"/>
  <c r="HB130" i="7"/>
  <c r="HA130" i="7"/>
  <c r="GZ130" i="7"/>
  <c r="GY130" i="7"/>
  <c r="GX130" i="7"/>
  <c r="GW130" i="7"/>
  <c r="GV130" i="7"/>
  <c r="GU130" i="7"/>
  <c r="GT130" i="7"/>
  <c r="GS130" i="7"/>
  <c r="GR130" i="7"/>
  <c r="GQ130" i="7"/>
  <c r="GP130" i="7"/>
  <c r="GO130" i="7"/>
  <c r="GN130" i="7"/>
  <c r="GM130" i="7"/>
  <c r="GL130" i="7"/>
  <c r="GK130" i="7"/>
  <c r="GJ130" i="7"/>
  <c r="GI130" i="7"/>
  <c r="GH130" i="7"/>
  <c r="GG130" i="7"/>
  <c r="GF130" i="7"/>
  <c r="GE130" i="7"/>
  <c r="GD130" i="7"/>
  <c r="GC130" i="7"/>
  <c r="GB130" i="7"/>
  <c r="GA130" i="7"/>
  <c r="FZ130" i="7"/>
  <c r="FY130" i="7"/>
  <c r="FX130" i="7"/>
  <c r="FW130" i="7"/>
  <c r="FV130" i="7"/>
  <c r="FU130" i="7"/>
  <c r="FT130" i="7"/>
  <c r="FS130" i="7"/>
  <c r="FR130" i="7"/>
  <c r="FQ130" i="7"/>
  <c r="FP130" i="7"/>
  <c r="FO130" i="7"/>
  <c r="FN130" i="7"/>
  <c r="FM130" i="7"/>
  <c r="FL130" i="7"/>
  <c r="FK130" i="7"/>
  <c r="FJ130" i="7"/>
  <c r="FI130" i="7"/>
  <c r="FH130" i="7"/>
  <c r="FG130" i="7"/>
  <c r="FF130" i="7"/>
  <c r="FE130" i="7"/>
  <c r="FD130" i="7"/>
  <c r="FC130" i="7"/>
  <c r="FB130" i="7"/>
  <c r="FA130" i="7"/>
  <c r="EZ130" i="7"/>
  <c r="EY130" i="7"/>
  <c r="EX130" i="7"/>
  <c r="EW130" i="7"/>
  <c r="EV130" i="7"/>
  <c r="EU130" i="7"/>
  <c r="ET130" i="7"/>
  <c r="ES130" i="7"/>
  <c r="ER130" i="7"/>
  <c r="EQ130" i="7"/>
  <c r="EP130" i="7"/>
  <c r="EO130" i="7"/>
  <c r="EN130" i="7"/>
  <c r="EM130" i="7"/>
  <c r="EL130" i="7"/>
  <c r="EK130" i="7"/>
  <c r="EJ130" i="7"/>
  <c r="EI130" i="7"/>
  <c r="EH130" i="7"/>
  <c r="EG130" i="7"/>
  <c r="EF130" i="7"/>
  <c r="EE130" i="7"/>
  <c r="ED130" i="7"/>
  <c r="EC130" i="7"/>
  <c r="EB130" i="7"/>
  <c r="EA130" i="7"/>
  <c r="DZ130" i="7"/>
  <c r="DY130" i="7"/>
  <c r="DX130" i="7"/>
  <c r="DW130" i="7"/>
  <c r="DV130" i="7"/>
  <c r="DU130" i="7"/>
  <c r="DT130" i="7"/>
  <c r="DS130" i="7"/>
  <c r="DR130" i="7"/>
  <c r="DQ130" i="7"/>
  <c r="DP130" i="7"/>
  <c r="DO130" i="7"/>
  <c r="DN130" i="7"/>
  <c r="DM130" i="7"/>
  <c r="DL130" i="7"/>
  <c r="DK130" i="7"/>
  <c r="DJ130" i="7"/>
  <c r="DI130" i="7"/>
  <c r="DH130" i="7"/>
  <c r="DG130" i="7"/>
  <c r="DF130" i="7"/>
  <c r="DE130" i="7"/>
  <c r="DD130" i="7"/>
  <c r="DC130" i="7"/>
  <c r="DB130" i="7"/>
  <c r="DA130" i="7"/>
  <c r="CZ130" i="7"/>
  <c r="CY130" i="7"/>
  <c r="CX130" i="7"/>
  <c r="CW130" i="7"/>
  <c r="CV130" i="7"/>
  <c r="CU130" i="7"/>
  <c r="CT130" i="7"/>
  <c r="CS130" i="7"/>
  <c r="CR130" i="7"/>
  <c r="CQ130" i="7"/>
  <c r="CP130" i="7"/>
  <c r="CO130" i="7"/>
  <c r="CN130" i="7"/>
  <c r="CM130" i="7"/>
  <c r="CL130" i="7"/>
  <c r="CK130" i="7"/>
  <c r="CJ130" i="7"/>
  <c r="CI130" i="7"/>
  <c r="CH130" i="7"/>
  <c r="CG130" i="7"/>
  <c r="CF130" i="7"/>
  <c r="CE130" i="7"/>
  <c r="CD130" i="7"/>
  <c r="CC130" i="7"/>
  <c r="CB130" i="7"/>
  <c r="CA130" i="7"/>
  <c r="BZ130" i="7"/>
  <c r="BY130" i="7"/>
  <c r="BX130" i="7"/>
  <c r="BW130" i="7"/>
  <c r="BV130" i="7"/>
  <c r="BU130" i="7"/>
  <c r="BT130" i="7"/>
  <c r="BS130" i="7"/>
  <c r="BR130" i="7"/>
  <c r="BQ130" i="7"/>
  <c r="BP130" i="7"/>
  <c r="BO130" i="7"/>
  <c r="BN130" i="7"/>
  <c r="BM130" i="7"/>
  <c r="BL130" i="7"/>
  <c r="BK130" i="7"/>
  <c r="BJ130" i="7"/>
  <c r="BI130" i="7"/>
  <c r="BH130" i="7"/>
  <c r="BG130" i="7"/>
  <c r="BF130" i="7"/>
  <c r="BE130" i="7"/>
  <c r="BD130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C130" i="7"/>
  <c r="B130" i="7"/>
  <c r="A130" i="7"/>
  <c r="IV129" i="7"/>
  <c r="IU129" i="7"/>
  <c r="IT129" i="7"/>
  <c r="IS129" i="7"/>
  <c r="IR129" i="7"/>
  <c r="IQ129" i="7"/>
  <c r="IP129" i="7"/>
  <c r="IO129" i="7"/>
  <c r="IN129" i="7"/>
  <c r="IM129" i="7"/>
  <c r="IL129" i="7"/>
  <c r="IK129" i="7"/>
  <c r="IJ129" i="7"/>
  <c r="II129" i="7"/>
  <c r="IH129" i="7"/>
  <c r="IG129" i="7"/>
  <c r="IF129" i="7"/>
  <c r="IE129" i="7"/>
  <c r="ID129" i="7"/>
  <c r="IC129" i="7"/>
  <c r="IB129" i="7"/>
  <c r="IA129" i="7"/>
  <c r="HZ129" i="7"/>
  <c r="HY129" i="7"/>
  <c r="HX129" i="7"/>
  <c r="HW129" i="7"/>
  <c r="HV129" i="7"/>
  <c r="HU129" i="7"/>
  <c r="HT129" i="7"/>
  <c r="HS129" i="7"/>
  <c r="HR129" i="7"/>
  <c r="HQ129" i="7"/>
  <c r="HP129" i="7"/>
  <c r="HO129" i="7"/>
  <c r="HN129" i="7"/>
  <c r="HM129" i="7"/>
  <c r="HL129" i="7"/>
  <c r="HK129" i="7"/>
  <c r="HJ129" i="7"/>
  <c r="HI129" i="7"/>
  <c r="HH129" i="7"/>
  <c r="HG129" i="7"/>
  <c r="HF129" i="7"/>
  <c r="HE129" i="7"/>
  <c r="HD129" i="7"/>
  <c r="HC129" i="7"/>
  <c r="HB129" i="7"/>
  <c r="HA129" i="7"/>
  <c r="GZ129" i="7"/>
  <c r="GY129" i="7"/>
  <c r="GX129" i="7"/>
  <c r="GW129" i="7"/>
  <c r="GV129" i="7"/>
  <c r="GU129" i="7"/>
  <c r="GT129" i="7"/>
  <c r="GS129" i="7"/>
  <c r="GR129" i="7"/>
  <c r="GQ129" i="7"/>
  <c r="GP129" i="7"/>
  <c r="GO129" i="7"/>
  <c r="GN129" i="7"/>
  <c r="GM129" i="7"/>
  <c r="GL129" i="7"/>
  <c r="GK129" i="7"/>
  <c r="GJ129" i="7"/>
  <c r="GI129" i="7"/>
  <c r="GH129" i="7"/>
  <c r="GG129" i="7"/>
  <c r="GF129" i="7"/>
  <c r="GE129" i="7"/>
  <c r="GD129" i="7"/>
  <c r="GC129" i="7"/>
  <c r="GB129" i="7"/>
  <c r="GA129" i="7"/>
  <c r="FZ129" i="7"/>
  <c r="FY129" i="7"/>
  <c r="FX129" i="7"/>
  <c r="FW129" i="7"/>
  <c r="FV129" i="7"/>
  <c r="FU129" i="7"/>
  <c r="FT129" i="7"/>
  <c r="FS129" i="7"/>
  <c r="FR129" i="7"/>
  <c r="FQ129" i="7"/>
  <c r="FP129" i="7"/>
  <c r="FO129" i="7"/>
  <c r="FN129" i="7"/>
  <c r="FM129" i="7"/>
  <c r="FL129" i="7"/>
  <c r="FK129" i="7"/>
  <c r="FJ129" i="7"/>
  <c r="FI129" i="7"/>
  <c r="FH129" i="7"/>
  <c r="FG129" i="7"/>
  <c r="FF129" i="7"/>
  <c r="FE129" i="7"/>
  <c r="FD129" i="7"/>
  <c r="FC129" i="7"/>
  <c r="FB129" i="7"/>
  <c r="FA129" i="7"/>
  <c r="EZ129" i="7"/>
  <c r="EY129" i="7"/>
  <c r="EX129" i="7"/>
  <c r="EW129" i="7"/>
  <c r="EV129" i="7"/>
  <c r="EU129" i="7"/>
  <c r="ET129" i="7"/>
  <c r="ES129" i="7"/>
  <c r="ER129" i="7"/>
  <c r="EQ129" i="7"/>
  <c r="EP129" i="7"/>
  <c r="EO129" i="7"/>
  <c r="EN129" i="7"/>
  <c r="EM129" i="7"/>
  <c r="EL129" i="7"/>
  <c r="EK129" i="7"/>
  <c r="EJ129" i="7"/>
  <c r="EI129" i="7"/>
  <c r="EH129" i="7"/>
  <c r="EG129" i="7"/>
  <c r="EF129" i="7"/>
  <c r="EE129" i="7"/>
  <c r="ED129" i="7"/>
  <c r="EC129" i="7"/>
  <c r="EB129" i="7"/>
  <c r="EA129" i="7"/>
  <c r="DZ129" i="7"/>
  <c r="DY129" i="7"/>
  <c r="DX129" i="7"/>
  <c r="DW129" i="7"/>
  <c r="DV129" i="7"/>
  <c r="DU129" i="7"/>
  <c r="DT129" i="7"/>
  <c r="DS129" i="7"/>
  <c r="DR129" i="7"/>
  <c r="DQ129" i="7"/>
  <c r="DP129" i="7"/>
  <c r="DO129" i="7"/>
  <c r="DN129" i="7"/>
  <c r="DM129" i="7"/>
  <c r="DL129" i="7"/>
  <c r="DK129" i="7"/>
  <c r="DJ129" i="7"/>
  <c r="DI129" i="7"/>
  <c r="DH129" i="7"/>
  <c r="DG129" i="7"/>
  <c r="DF129" i="7"/>
  <c r="DE129" i="7"/>
  <c r="DD129" i="7"/>
  <c r="DC129" i="7"/>
  <c r="DB129" i="7"/>
  <c r="DA129" i="7"/>
  <c r="CZ129" i="7"/>
  <c r="CY129" i="7"/>
  <c r="CX129" i="7"/>
  <c r="CW129" i="7"/>
  <c r="CV129" i="7"/>
  <c r="CU129" i="7"/>
  <c r="CT129" i="7"/>
  <c r="CS129" i="7"/>
  <c r="CR129" i="7"/>
  <c r="CQ129" i="7"/>
  <c r="CP129" i="7"/>
  <c r="CO129" i="7"/>
  <c r="CN129" i="7"/>
  <c r="CM129" i="7"/>
  <c r="CL129" i="7"/>
  <c r="CK129" i="7"/>
  <c r="CJ129" i="7"/>
  <c r="CI129" i="7"/>
  <c r="CH129" i="7"/>
  <c r="CG129" i="7"/>
  <c r="CF129" i="7"/>
  <c r="CE129" i="7"/>
  <c r="CD129" i="7"/>
  <c r="CC129" i="7"/>
  <c r="CB129" i="7"/>
  <c r="CA129" i="7"/>
  <c r="BZ129" i="7"/>
  <c r="BY129" i="7"/>
  <c r="BX129" i="7"/>
  <c r="BW129" i="7"/>
  <c r="BV129" i="7"/>
  <c r="BU129" i="7"/>
  <c r="BT129" i="7"/>
  <c r="BS129" i="7"/>
  <c r="BR129" i="7"/>
  <c r="BQ129" i="7"/>
  <c r="BP129" i="7"/>
  <c r="BO129" i="7"/>
  <c r="BN129" i="7"/>
  <c r="BM129" i="7"/>
  <c r="BL129" i="7"/>
  <c r="BK129" i="7"/>
  <c r="BJ129" i="7"/>
  <c r="BI129" i="7"/>
  <c r="BH129" i="7"/>
  <c r="BG129" i="7"/>
  <c r="BF129" i="7"/>
  <c r="BE129" i="7"/>
  <c r="BD129" i="7"/>
  <c r="BC129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C129" i="7"/>
  <c r="B129" i="7"/>
  <c r="A129" i="7"/>
  <c r="IV128" i="7"/>
  <c r="IU128" i="7"/>
  <c r="IT128" i="7"/>
  <c r="IS128" i="7"/>
  <c r="IR128" i="7"/>
  <c r="IQ128" i="7"/>
  <c r="IP128" i="7"/>
  <c r="IO128" i="7"/>
  <c r="IN128" i="7"/>
  <c r="IM128" i="7"/>
  <c r="IL128" i="7"/>
  <c r="IK128" i="7"/>
  <c r="IJ128" i="7"/>
  <c r="II128" i="7"/>
  <c r="IH128" i="7"/>
  <c r="IG128" i="7"/>
  <c r="IF128" i="7"/>
  <c r="IE128" i="7"/>
  <c r="ID128" i="7"/>
  <c r="IC128" i="7"/>
  <c r="IB128" i="7"/>
  <c r="IA128" i="7"/>
  <c r="HZ128" i="7"/>
  <c r="HY128" i="7"/>
  <c r="HX128" i="7"/>
  <c r="HW128" i="7"/>
  <c r="HV128" i="7"/>
  <c r="HU128" i="7"/>
  <c r="HT128" i="7"/>
  <c r="HS128" i="7"/>
  <c r="HR128" i="7"/>
  <c r="HQ128" i="7"/>
  <c r="HP128" i="7"/>
  <c r="HO128" i="7"/>
  <c r="HN128" i="7"/>
  <c r="HM128" i="7"/>
  <c r="HL128" i="7"/>
  <c r="HK128" i="7"/>
  <c r="HJ128" i="7"/>
  <c r="HI128" i="7"/>
  <c r="HH128" i="7"/>
  <c r="HG128" i="7"/>
  <c r="HF128" i="7"/>
  <c r="HE128" i="7"/>
  <c r="HD128" i="7"/>
  <c r="HC128" i="7"/>
  <c r="HB128" i="7"/>
  <c r="HA128" i="7"/>
  <c r="GZ128" i="7"/>
  <c r="GY128" i="7"/>
  <c r="GX128" i="7"/>
  <c r="GW128" i="7"/>
  <c r="GV128" i="7"/>
  <c r="GU128" i="7"/>
  <c r="GT128" i="7"/>
  <c r="GS128" i="7"/>
  <c r="GR128" i="7"/>
  <c r="GQ128" i="7"/>
  <c r="GP128" i="7"/>
  <c r="GO128" i="7"/>
  <c r="GN128" i="7"/>
  <c r="GM128" i="7"/>
  <c r="GL128" i="7"/>
  <c r="GK128" i="7"/>
  <c r="GJ128" i="7"/>
  <c r="GI128" i="7"/>
  <c r="GH128" i="7"/>
  <c r="GG128" i="7"/>
  <c r="GF128" i="7"/>
  <c r="GE128" i="7"/>
  <c r="GD128" i="7"/>
  <c r="GC128" i="7"/>
  <c r="GB128" i="7"/>
  <c r="GA128" i="7"/>
  <c r="FZ128" i="7"/>
  <c r="FY128" i="7"/>
  <c r="FX128" i="7"/>
  <c r="FW128" i="7"/>
  <c r="FV128" i="7"/>
  <c r="FU128" i="7"/>
  <c r="FT128" i="7"/>
  <c r="FS128" i="7"/>
  <c r="FR128" i="7"/>
  <c r="FQ128" i="7"/>
  <c r="FP128" i="7"/>
  <c r="FO128" i="7"/>
  <c r="FN128" i="7"/>
  <c r="FM128" i="7"/>
  <c r="FL128" i="7"/>
  <c r="FK128" i="7"/>
  <c r="FJ128" i="7"/>
  <c r="FI128" i="7"/>
  <c r="FH128" i="7"/>
  <c r="FG128" i="7"/>
  <c r="FF128" i="7"/>
  <c r="FE128" i="7"/>
  <c r="FD128" i="7"/>
  <c r="FC128" i="7"/>
  <c r="FB128" i="7"/>
  <c r="FA128" i="7"/>
  <c r="EZ128" i="7"/>
  <c r="EY128" i="7"/>
  <c r="EX128" i="7"/>
  <c r="EW128" i="7"/>
  <c r="EV128" i="7"/>
  <c r="EU128" i="7"/>
  <c r="ET128" i="7"/>
  <c r="ES128" i="7"/>
  <c r="ER128" i="7"/>
  <c r="EQ128" i="7"/>
  <c r="EP128" i="7"/>
  <c r="EO128" i="7"/>
  <c r="EN128" i="7"/>
  <c r="EM128" i="7"/>
  <c r="EL128" i="7"/>
  <c r="EK128" i="7"/>
  <c r="EJ128" i="7"/>
  <c r="EI128" i="7"/>
  <c r="EH128" i="7"/>
  <c r="EG128" i="7"/>
  <c r="EF128" i="7"/>
  <c r="EE128" i="7"/>
  <c r="ED128" i="7"/>
  <c r="EC128" i="7"/>
  <c r="EB128" i="7"/>
  <c r="EA128" i="7"/>
  <c r="DZ128" i="7"/>
  <c r="DY128" i="7"/>
  <c r="DX128" i="7"/>
  <c r="DW128" i="7"/>
  <c r="DV128" i="7"/>
  <c r="DU128" i="7"/>
  <c r="DT128" i="7"/>
  <c r="DS128" i="7"/>
  <c r="DR128" i="7"/>
  <c r="DQ128" i="7"/>
  <c r="DP128" i="7"/>
  <c r="DO128" i="7"/>
  <c r="DN128" i="7"/>
  <c r="DM128" i="7"/>
  <c r="DL128" i="7"/>
  <c r="DK128" i="7"/>
  <c r="DJ128" i="7"/>
  <c r="DI128" i="7"/>
  <c r="DH128" i="7"/>
  <c r="DG128" i="7"/>
  <c r="DF128" i="7"/>
  <c r="DE128" i="7"/>
  <c r="DD128" i="7"/>
  <c r="DC128" i="7"/>
  <c r="DB128" i="7"/>
  <c r="DA128" i="7"/>
  <c r="CZ128" i="7"/>
  <c r="CY128" i="7"/>
  <c r="CX128" i="7"/>
  <c r="CW128" i="7"/>
  <c r="CV128" i="7"/>
  <c r="CU128" i="7"/>
  <c r="CT128" i="7"/>
  <c r="CS128" i="7"/>
  <c r="CR128" i="7"/>
  <c r="CQ128" i="7"/>
  <c r="CP128" i="7"/>
  <c r="CO128" i="7"/>
  <c r="CN128" i="7"/>
  <c r="CM128" i="7"/>
  <c r="CL128" i="7"/>
  <c r="CK128" i="7"/>
  <c r="CJ128" i="7"/>
  <c r="CI128" i="7"/>
  <c r="CH128" i="7"/>
  <c r="CG128" i="7"/>
  <c r="CF128" i="7"/>
  <c r="CE128" i="7"/>
  <c r="CD128" i="7"/>
  <c r="CC128" i="7"/>
  <c r="CB128" i="7"/>
  <c r="CA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M128" i="7"/>
  <c r="BL128" i="7"/>
  <c r="BK128" i="7"/>
  <c r="BJ128" i="7"/>
  <c r="BI128" i="7"/>
  <c r="BH128" i="7"/>
  <c r="BG128" i="7"/>
  <c r="BF128" i="7"/>
  <c r="BE128" i="7"/>
  <c r="BD128" i="7"/>
  <c r="BC128" i="7"/>
  <c r="BB128" i="7"/>
  <c r="BA128" i="7"/>
  <c r="AZ128" i="7"/>
  <c r="AY128" i="7"/>
  <c r="AX128" i="7"/>
  <c r="AW128" i="7"/>
  <c r="AV128" i="7"/>
  <c r="AU128" i="7"/>
  <c r="AT128" i="7"/>
  <c r="AS128" i="7"/>
  <c r="AR128" i="7"/>
  <c r="AQ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C128" i="7"/>
  <c r="B128" i="7"/>
  <c r="A128" i="7"/>
  <c r="IV127" i="7"/>
  <c r="IU127" i="7"/>
  <c r="IT127" i="7"/>
  <c r="IS127" i="7"/>
  <c r="IR127" i="7"/>
  <c r="IQ127" i="7"/>
  <c r="IP127" i="7"/>
  <c r="IO127" i="7"/>
  <c r="IN127" i="7"/>
  <c r="IM127" i="7"/>
  <c r="IL127" i="7"/>
  <c r="IK127" i="7"/>
  <c r="IJ127" i="7"/>
  <c r="II127" i="7"/>
  <c r="IH127" i="7"/>
  <c r="IG127" i="7"/>
  <c r="IF127" i="7"/>
  <c r="IE127" i="7"/>
  <c r="ID127" i="7"/>
  <c r="IC127" i="7"/>
  <c r="IB127" i="7"/>
  <c r="IA127" i="7"/>
  <c r="HZ127" i="7"/>
  <c r="HY127" i="7"/>
  <c r="HX127" i="7"/>
  <c r="HW127" i="7"/>
  <c r="HV127" i="7"/>
  <c r="HU127" i="7"/>
  <c r="HT127" i="7"/>
  <c r="HS127" i="7"/>
  <c r="HR127" i="7"/>
  <c r="HQ127" i="7"/>
  <c r="HP127" i="7"/>
  <c r="HO127" i="7"/>
  <c r="HN127" i="7"/>
  <c r="HM127" i="7"/>
  <c r="HL127" i="7"/>
  <c r="HK127" i="7"/>
  <c r="HJ127" i="7"/>
  <c r="HI127" i="7"/>
  <c r="HH127" i="7"/>
  <c r="HG127" i="7"/>
  <c r="HF127" i="7"/>
  <c r="HE127" i="7"/>
  <c r="HD127" i="7"/>
  <c r="HC127" i="7"/>
  <c r="HB127" i="7"/>
  <c r="HA127" i="7"/>
  <c r="GZ127" i="7"/>
  <c r="GY127" i="7"/>
  <c r="GX127" i="7"/>
  <c r="GW127" i="7"/>
  <c r="GV127" i="7"/>
  <c r="GU127" i="7"/>
  <c r="GT127" i="7"/>
  <c r="GS127" i="7"/>
  <c r="GR127" i="7"/>
  <c r="GQ127" i="7"/>
  <c r="GP127" i="7"/>
  <c r="GO127" i="7"/>
  <c r="GN127" i="7"/>
  <c r="GM127" i="7"/>
  <c r="GL127" i="7"/>
  <c r="GK127" i="7"/>
  <c r="GJ127" i="7"/>
  <c r="GI127" i="7"/>
  <c r="GH127" i="7"/>
  <c r="GG127" i="7"/>
  <c r="GF127" i="7"/>
  <c r="GE127" i="7"/>
  <c r="GD127" i="7"/>
  <c r="GC127" i="7"/>
  <c r="GB127" i="7"/>
  <c r="GA127" i="7"/>
  <c r="FZ127" i="7"/>
  <c r="FY127" i="7"/>
  <c r="FX127" i="7"/>
  <c r="FW127" i="7"/>
  <c r="FV127" i="7"/>
  <c r="FU127" i="7"/>
  <c r="FT127" i="7"/>
  <c r="FS127" i="7"/>
  <c r="FR127" i="7"/>
  <c r="FQ127" i="7"/>
  <c r="FP127" i="7"/>
  <c r="FO127" i="7"/>
  <c r="FN127" i="7"/>
  <c r="FM127" i="7"/>
  <c r="FL127" i="7"/>
  <c r="FK127" i="7"/>
  <c r="FJ127" i="7"/>
  <c r="FI127" i="7"/>
  <c r="FH127" i="7"/>
  <c r="FG127" i="7"/>
  <c r="FF127" i="7"/>
  <c r="FE127" i="7"/>
  <c r="FD127" i="7"/>
  <c r="FC127" i="7"/>
  <c r="FB127" i="7"/>
  <c r="FA127" i="7"/>
  <c r="EZ127" i="7"/>
  <c r="EY127" i="7"/>
  <c r="EX127" i="7"/>
  <c r="EW127" i="7"/>
  <c r="EV127" i="7"/>
  <c r="EU127" i="7"/>
  <c r="ET127" i="7"/>
  <c r="ES127" i="7"/>
  <c r="ER127" i="7"/>
  <c r="EQ127" i="7"/>
  <c r="EP127" i="7"/>
  <c r="EO127" i="7"/>
  <c r="EN127" i="7"/>
  <c r="EM127" i="7"/>
  <c r="EL127" i="7"/>
  <c r="EK127" i="7"/>
  <c r="EJ127" i="7"/>
  <c r="EI127" i="7"/>
  <c r="EH127" i="7"/>
  <c r="EG127" i="7"/>
  <c r="EF127" i="7"/>
  <c r="EE127" i="7"/>
  <c r="ED127" i="7"/>
  <c r="EC127" i="7"/>
  <c r="EB127" i="7"/>
  <c r="EA127" i="7"/>
  <c r="DZ127" i="7"/>
  <c r="DY127" i="7"/>
  <c r="DX127" i="7"/>
  <c r="DW127" i="7"/>
  <c r="DV127" i="7"/>
  <c r="DU127" i="7"/>
  <c r="DT127" i="7"/>
  <c r="DS127" i="7"/>
  <c r="DR127" i="7"/>
  <c r="DQ127" i="7"/>
  <c r="DP127" i="7"/>
  <c r="DO127" i="7"/>
  <c r="DN127" i="7"/>
  <c r="DM127" i="7"/>
  <c r="DL127" i="7"/>
  <c r="DK127" i="7"/>
  <c r="DJ127" i="7"/>
  <c r="DI127" i="7"/>
  <c r="DH127" i="7"/>
  <c r="DG127" i="7"/>
  <c r="DF127" i="7"/>
  <c r="DE127" i="7"/>
  <c r="DD127" i="7"/>
  <c r="DC127" i="7"/>
  <c r="DB127" i="7"/>
  <c r="DA127" i="7"/>
  <c r="CZ127" i="7"/>
  <c r="CY127" i="7"/>
  <c r="CX127" i="7"/>
  <c r="CW127" i="7"/>
  <c r="CV127" i="7"/>
  <c r="CU127" i="7"/>
  <c r="CT127" i="7"/>
  <c r="CS127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CB127" i="7"/>
  <c r="CA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M127" i="7"/>
  <c r="BL127" i="7"/>
  <c r="BK127" i="7"/>
  <c r="BJ127" i="7"/>
  <c r="BI127" i="7"/>
  <c r="BH127" i="7"/>
  <c r="BG127" i="7"/>
  <c r="BF127" i="7"/>
  <c r="BE127" i="7"/>
  <c r="BD127" i="7"/>
  <c r="BC127" i="7"/>
  <c r="BB127" i="7"/>
  <c r="BA127" i="7"/>
  <c r="AZ127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C127" i="7"/>
  <c r="B127" i="7"/>
  <c r="A127" i="7"/>
  <c r="IV126" i="7"/>
  <c r="IU126" i="7"/>
  <c r="IT126" i="7"/>
  <c r="IS126" i="7"/>
  <c r="IR126" i="7"/>
  <c r="IQ126" i="7"/>
  <c r="IP126" i="7"/>
  <c r="IO126" i="7"/>
  <c r="IN126" i="7"/>
  <c r="IM126" i="7"/>
  <c r="IL126" i="7"/>
  <c r="IK126" i="7"/>
  <c r="IJ126" i="7"/>
  <c r="II126" i="7"/>
  <c r="IH126" i="7"/>
  <c r="IG126" i="7"/>
  <c r="IF126" i="7"/>
  <c r="IE126" i="7"/>
  <c r="ID126" i="7"/>
  <c r="IC126" i="7"/>
  <c r="IB126" i="7"/>
  <c r="IA126" i="7"/>
  <c r="HZ126" i="7"/>
  <c r="HY126" i="7"/>
  <c r="HX126" i="7"/>
  <c r="HW126" i="7"/>
  <c r="HV126" i="7"/>
  <c r="HU126" i="7"/>
  <c r="HT126" i="7"/>
  <c r="HS126" i="7"/>
  <c r="HR126" i="7"/>
  <c r="HQ126" i="7"/>
  <c r="HP126" i="7"/>
  <c r="HO126" i="7"/>
  <c r="HN126" i="7"/>
  <c r="HM126" i="7"/>
  <c r="HL126" i="7"/>
  <c r="HK126" i="7"/>
  <c r="HJ126" i="7"/>
  <c r="HI126" i="7"/>
  <c r="HH126" i="7"/>
  <c r="HG126" i="7"/>
  <c r="HF126" i="7"/>
  <c r="HE126" i="7"/>
  <c r="HD126" i="7"/>
  <c r="HC126" i="7"/>
  <c r="HB126" i="7"/>
  <c r="HA126" i="7"/>
  <c r="GZ126" i="7"/>
  <c r="GY126" i="7"/>
  <c r="GX126" i="7"/>
  <c r="GW126" i="7"/>
  <c r="GV126" i="7"/>
  <c r="GU126" i="7"/>
  <c r="GT126" i="7"/>
  <c r="GS126" i="7"/>
  <c r="GR126" i="7"/>
  <c r="GQ126" i="7"/>
  <c r="GP126" i="7"/>
  <c r="GO126" i="7"/>
  <c r="GN126" i="7"/>
  <c r="GM126" i="7"/>
  <c r="GL126" i="7"/>
  <c r="GK126" i="7"/>
  <c r="GJ126" i="7"/>
  <c r="GI126" i="7"/>
  <c r="GH126" i="7"/>
  <c r="GG126" i="7"/>
  <c r="GF126" i="7"/>
  <c r="GE126" i="7"/>
  <c r="GD126" i="7"/>
  <c r="GC126" i="7"/>
  <c r="GB126" i="7"/>
  <c r="GA126" i="7"/>
  <c r="FZ126" i="7"/>
  <c r="FY126" i="7"/>
  <c r="FX126" i="7"/>
  <c r="FW126" i="7"/>
  <c r="FV126" i="7"/>
  <c r="FU126" i="7"/>
  <c r="FT126" i="7"/>
  <c r="FS126" i="7"/>
  <c r="FR126" i="7"/>
  <c r="FQ126" i="7"/>
  <c r="FP126" i="7"/>
  <c r="FO126" i="7"/>
  <c r="FN126" i="7"/>
  <c r="FM126" i="7"/>
  <c r="FL126" i="7"/>
  <c r="FK126" i="7"/>
  <c r="FJ126" i="7"/>
  <c r="FI126" i="7"/>
  <c r="FH126" i="7"/>
  <c r="FG126" i="7"/>
  <c r="FF126" i="7"/>
  <c r="FE126" i="7"/>
  <c r="FD126" i="7"/>
  <c r="FC126" i="7"/>
  <c r="FB126" i="7"/>
  <c r="FA126" i="7"/>
  <c r="EZ126" i="7"/>
  <c r="EY126" i="7"/>
  <c r="EX126" i="7"/>
  <c r="EW126" i="7"/>
  <c r="EV126" i="7"/>
  <c r="EU126" i="7"/>
  <c r="ET126" i="7"/>
  <c r="ES126" i="7"/>
  <c r="ER126" i="7"/>
  <c r="EQ126" i="7"/>
  <c r="EP126" i="7"/>
  <c r="EO126" i="7"/>
  <c r="EN126" i="7"/>
  <c r="EM126" i="7"/>
  <c r="EL126" i="7"/>
  <c r="EK126" i="7"/>
  <c r="EJ126" i="7"/>
  <c r="EI126" i="7"/>
  <c r="EH126" i="7"/>
  <c r="EG126" i="7"/>
  <c r="EF126" i="7"/>
  <c r="EE126" i="7"/>
  <c r="ED126" i="7"/>
  <c r="EC126" i="7"/>
  <c r="EB126" i="7"/>
  <c r="EA126" i="7"/>
  <c r="DZ126" i="7"/>
  <c r="DY126" i="7"/>
  <c r="DX126" i="7"/>
  <c r="DW126" i="7"/>
  <c r="DV126" i="7"/>
  <c r="DU126" i="7"/>
  <c r="DT126" i="7"/>
  <c r="DS126" i="7"/>
  <c r="DR126" i="7"/>
  <c r="DQ126" i="7"/>
  <c r="DP126" i="7"/>
  <c r="DO126" i="7"/>
  <c r="DN126" i="7"/>
  <c r="DM126" i="7"/>
  <c r="DL126" i="7"/>
  <c r="DK126" i="7"/>
  <c r="DJ126" i="7"/>
  <c r="DI126" i="7"/>
  <c r="DH126" i="7"/>
  <c r="DG126" i="7"/>
  <c r="DF126" i="7"/>
  <c r="DE126" i="7"/>
  <c r="DD126" i="7"/>
  <c r="DC126" i="7"/>
  <c r="DB126" i="7"/>
  <c r="DA126" i="7"/>
  <c r="CZ126" i="7"/>
  <c r="CY126" i="7"/>
  <c r="CX126" i="7"/>
  <c r="CW126" i="7"/>
  <c r="CV126" i="7"/>
  <c r="CU126" i="7"/>
  <c r="CT126" i="7"/>
  <c r="CS126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CB126" i="7"/>
  <c r="CA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J126" i="7"/>
  <c r="BI126" i="7"/>
  <c r="BH126" i="7"/>
  <c r="BG126" i="7"/>
  <c r="BF126" i="7"/>
  <c r="BE126" i="7"/>
  <c r="BD126" i="7"/>
  <c r="BC126" i="7"/>
  <c r="BB126" i="7"/>
  <c r="BA126" i="7"/>
  <c r="AZ126" i="7"/>
  <c r="AY126" i="7"/>
  <c r="AX126" i="7"/>
  <c r="AW126" i="7"/>
  <c r="AV126" i="7"/>
  <c r="AU126" i="7"/>
  <c r="AT126" i="7"/>
  <c r="AS126" i="7"/>
  <c r="AR126" i="7"/>
  <c r="AQ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R126" i="7"/>
  <c r="Q126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B126" i="7"/>
  <c r="A126" i="7"/>
  <c r="IV125" i="7"/>
  <c r="IU125" i="7"/>
  <c r="IT125" i="7"/>
  <c r="IS125" i="7"/>
  <c r="IR125" i="7"/>
  <c r="IQ125" i="7"/>
  <c r="IP125" i="7"/>
  <c r="IO125" i="7"/>
  <c r="IN125" i="7"/>
  <c r="IM125" i="7"/>
  <c r="IL125" i="7"/>
  <c r="IK125" i="7"/>
  <c r="IJ125" i="7"/>
  <c r="II125" i="7"/>
  <c r="IH125" i="7"/>
  <c r="IG125" i="7"/>
  <c r="IF125" i="7"/>
  <c r="IE125" i="7"/>
  <c r="ID125" i="7"/>
  <c r="IC125" i="7"/>
  <c r="IB125" i="7"/>
  <c r="IA125" i="7"/>
  <c r="HZ125" i="7"/>
  <c r="HY125" i="7"/>
  <c r="HX125" i="7"/>
  <c r="HW125" i="7"/>
  <c r="HV125" i="7"/>
  <c r="HU125" i="7"/>
  <c r="HT125" i="7"/>
  <c r="HS125" i="7"/>
  <c r="HR125" i="7"/>
  <c r="HQ125" i="7"/>
  <c r="HP125" i="7"/>
  <c r="HO125" i="7"/>
  <c r="HN125" i="7"/>
  <c r="HM125" i="7"/>
  <c r="HL125" i="7"/>
  <c r="HK125" i="7"/>
  <c r="HJ125" i="7"/>
  <c r="HI125" i="7"/>
  <c r="HH125" i="7"/>
  <c r="HG125" i="7"/>
  <c r="HF125" i="7"/>
  <c r="HE125" i="7"/>
  <c r="HD125" i="7"/>
  <c r="HC125" i="7"/>
  <c r="HB125" i="7"/>
  <c r="HA125" i="7"/>
  <c r="GZ125" i="7"/>
  <c r="GY125" i="7"/>
  <c r="GX125" i="7"/>
  <c r="GW125" i="7"/>
  <c r="GV125" i="7"/>
  <c r="GU125" i="7"/>
  <c r="GT125" i="7"/>
  <c r="GS125" i="7"/>
  <c r="GR125" i="7"/>
  <c r="GQ125" i="7"/>
  <c r="GP125" i="7"/>
  <c r="GO125" i="7"/>
  <c r="GN125" i="7"/>
  <c r="GM125" i="7"/>
  <c r="GL125" i="7"/>
  <c r="GK125" i="7"/>
  <c r="GJ125" i="7"/>
  <c r="GI125" i="7"/>
  <c r="GH125" i="7"/>
  <c r="GG125" i="7"/>
  <c r="GF125" i="7"/>
  <c r="GE125" i="7"/>
  <c r="GD125" i="7"/>
  <c r="GC125" i="7"/>
  <c r="GB125" i="7"/>
  <c r="GA125" i="7"/>
  <c r="FZ125" i="7"/>
  <c r="FY125" i="7"/>
  <c r="FX125" i="7"/>
  <c r="FW125" i="7"/>
  <c r="FV125" i="7"/>
  <c r="FU125" i="7"/>
  <c r="FT125" i="7"/>
  <c r="FS125" i="7"/>
  <c r="FR125" i="7"/>
  <c r="FQ125" i="7"/>
  <c r="FP125" i="7"/>
  <c r="FO125" i="7"/>
  <c r="FN125" i="7"/>
  <c r="FM125" i="7"/>
  <c r="FL125" i="7"/>
  <c r="FK125" i="7"/>
  <c r="FJ125" i="7"/>
  <c r="FI125" i="7"/>
  <c r="FH125" i="7"/>
  <c r="FG125" i="7"/>
  <c r="FF125" i="7"/>
  <c r="FE125" i="7"/>
  <c r="FD125" i="7"/>
  <c r="FC125" i="7"/>
  <c r="FB125" i="7"/>
  <c r="FA125" i="7"/>
  <c r="EZ125" i="7"/>
  <c r="EY125" i="7"/>
  <c r="EX125" i="7"/>
  <c r="EW125" i="7"/>
  <c r="EV125" i="7"/>
  <c r="EU125" i="7"/>
  <c r="ET125" i="7"/>
  <c r="ES125" i="7"/>
  <c r="ER125" i="7"/>
  <c r="EQ125" i="7"/>
  <c r="EP125" i="7"/>
  <c r="EO125" i="7"/>
  <c r="EN125" i="7"/>
  <c r="EM125" i="7"/>
  <c r="EL125" i="7"/>
  <c r="EK125" i="7"/>
  <c r="EJ125" i="7"/>
  <c r="EI125" i="7"/>
  <c r="EH125" i="7"/>
  <c r="EG125" i="7"/>
  <c r="EF125" i="7"/>
  <c r="EE125" i="7"/>
  <c r="ED125" i="7"/>
  <c r="EC125" i="7"/>
  <c r="EB125" i="7"/>
  <c r="EA125" i="7"/>
  <c r="DZ125" i="7"/>
  <c r="DY125" i="7"/>
  <c r="DX125" i="7"/>
  <c r="DW125" i="7"/>
  <c r="DV125" i="7"/>
  <c r="DU125" i="7"/>
  <c r="DT125" i="7"/>
  <c r="DS125" i="7"/>
  <c r="DR125" i="7"/>
  <c r="DQ125" i="7"/>
  <c r="DP125" i="7"/>
  <c r="DO125" i="7"/>
  <c r="DN125" i="7"/>
  <c r="DM125" i="7"/>
  <c r="DL125" i="7"/>
  <c r="DK125" i="7"/>
  <c r="DJ125" i="7"/>
  <c r="DI125" i="7"/>
  <c r="DH125" i="7"/>
  <c r="DG125" i="7"/>
  <c r="DF125" i="7"/>
  <c r="DE125" i="7"/>
  <c r="DD125" i="7"/>
  <c r="DC125" i="7"/>
  <c r="DB125" i="7"/>
  <c r="DA125" i="7"/>
  <c r="CZ125" i="7"/>
  <c r="CY125" i="7"/>
  <c r="CX125" i="7"/>
  <c r="CW125" i="7"/>
  <c r="CV125" i="7"/>
  <c r="CU125" i="7"/>
  <c r="CT125" i="7"/>
  <c r="CS125" i="7"/>
  <c r="CR125" i="7"/>
  <c r="CQ125" i="7"/>
  <c r="CP125" i="7"/>
  <c r="CO125" i="7"/>
  <c r="CN125" i="7"/>
  <c r="CM125" i="7"/>
  <c r="CL125" i="7"/>
  <c r="CK125" i="7"/>
  <c r="CJ125" i="7"/>
  <c r="CI125" i="7"/>
  <c r="CH125" i="7"/>
  <c r="CG125" i="7"/>
  <c r="CF125" i="7"/>
  <c r="CE125" i="7"/>
  <c r="CD125" i="7"/>
  <c r="CC125" i="7"/>
  <c r="CB125" i="7"/>
  <c r="CA125" i="7"/>
  <c r="BZ125" i="7"/>
  <c r="BY125" i="7"/>
  <c r="BX125" i="7"/>
  <c r="BW125" i="7"/>
  <c r="BV125" i="7"/>
  <c r="BU125" i="7"/>
  <c r="BT125" i="7"/>
  <c r="BS125" i="7"/>
  <c r="BR125" i="7"/>
  <c r="BQ125" i="7"/>
  <c r="BP125" i="7"/>
  <c r="BO125" i="7"/>
  <c r="BN125" i="7"/>
  <c r="BM125" i="7"/>
  <c r="BL125" i="7"/>
  <c r="BK125" i="7"/>
  <c r="BJ125" i="7"/>
  <c r="BI125" i="7"/>
  <c r="BH125" i="7"/>
  <c r="BG125" i="7"/>
  <c r="BF125" i="7"/>
  <c r="BE125" i="7"/>
  <c r="BD125" i="7"/>
  <c r="BC125" i="7"/>
  <c r="BB125" i="7"/>
  <c r="BA125" i="7"/>
  <c r="AZ125" i="7"/>
  <c r="AY125" i="7"/>
  <c r="AX125" i="7"/>
  <c r="AW125" i="7"/>
  <c r="AV125" i="7"/>
  <c r="AU125" i="7"/>
  <c r="AT125" i="7"/>
  <c r="AS125" i="7"/>
  <c r="AR125" i="7"/>
  <c r="AQ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R125" i="7"/>
  <c r="Q125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B125" i="7"/>
  <c r="A125" i="7"/>
  <c r="IV124" i="7"/>
  <c r="IU124" i="7"/>
  <c r="IT124" i="7"/>
  <c r="IS124" i="7"/>
  <c r="IR124" i="7"/>
  <c r="IQ124" i="7"/>
  <c r="IP124" i="7"/>
  <c r="IO124" i="7"/>
  <c r="IN124" i="7"/>
  <c r="IM124" i="7"/>
  <c r="IL124" i="7"/>
  <c r="IK124" i="7"/>
  <c r="IJ124" i="7"/>
  <c r="II124" i="7"/>
  <c r="IH124" i="7"/>
  <c r="IG124" i="7"/>
  <c r="IF124" i="7"/>
  <c r="IE124" i="7"/>
  <c r="ID124" i="7"/>
  <c r="IC124" i="7"/>
  <c r="IB124" i="7"/>
  <c r="IA124" i="7"/>
  <c r="HZ124" i="7"/>
  <c r="HY124" i="7"/>
  <c r="HX124" i="7"/>
  <c r="HW124" i="7"/>
  <c r="HV124" i="7"/>
  <c r="HU124" i="7"/>
  <c r="HT124" i="7"/>
  <c r="HS124" i="7"/>
  <c r="HR124" i="7"/>
  <c r="HQ124" i="7"/>
  <c r="HP124" i="7"/>
  <c r="HO124" i="7"/>
  <c r="HN124" i="7"/>
  <c r="HM124" i="7"/>
  <c r="HL124" i="7"/>
  <c r="HK124" i="7"/>
  <c r="HJ124" i="7"/>
  <c r="HI124" i="7"/>
  <c r="HH124" i="7"/>
  <c r="HG124" i="7"/>
  <c r="HF124" i="7"/>
  <c r="HE124" i="7"/>
  <c r="HD124" i="7"/>
  <c r="HC124" i="7"/>
  <c r="HB124" i="7"/>
  <c r="HA124" i="7"/>
  <c r="GZ124" i="7"/>
  <c r="GY124" i="7"/>
  <c r="GX124" i="7"/>
  <c r="GW124" i="7"/>
  <c r="GV124" i="7"/>
  <c r="GU124" i="7"/>
  <c r="GT124" i="7"/>
  <c r="GS124" i="7"/>
  <c r="GR124" i="7"/>
  <c r="GQ124" i="7"/>
  <c r="GP124" i="7"/>
  <c r="GO124" i="7"/>
  <c r="GN124" i="7"/>
  <c r="GM124" i="7"/>
  <c r="GL124" i="7"/>
  <c r="GK124" i="7"/>
  <c r="GJ124" i="7"/>
  <c r="GI124" i="7"/>
  <c r="GH124" i="7"/>
  <c r="GG124" i="7"/>
  <c r="GF124" i="7"/>
  <c r="GE124" i="7"/>
  <c r="GD124" i="7"/>
  <c r="GC124" i="7"/>
  <c r="GB124" i="7"/>
  <c r="GA124" i="7"/>
  <c r="FZ124" i="7"/>
  <c r="FY124" i="7"/>
  <c r="FX124" i="7"/>
  <c r="FW124" i="7"/>
  <c r="FV124" i="7"/>
  <c r="FU124" i="7"/>
  <c r="FT124" i="7"/>
  <c r="FS124" i="7"/>
  <c r="FR124" i="7"/>
  <c r="FQ124" i="7"/>
  <c r="FP124" i="7"/>
  <c r="FO124" i="7"/>
  <c r="FN124" i="7"/>
  <c r="FM124" i="7"/>
  <c r="FL124" i="7"/>
  <c r="FK124" i="7"/>
  <c r="FJ124" i="7"/>
  <c r="FI124" i="7"/>
  <c r="FH124" i="7"/>
  <c r="FG124" i="7"/>
  <c r="FF124" i="7"/>
  <c r="FE124" i="7"/>
  <c r="FD124" i="7"/>
  <c r="FC124" i="7"/>
  <c r="FB124" i="7"/>
  <c r="FA124" i="7"/>
  <c r="EZ124" i="7"/>
  <c r="EY124" i="7"/>
  <c r="EX124" i="7"/>
  <c r="EW124" i="7"/>
  <c r="EV124" i="7"/>
  <c r="EU124" i="7"/>
  <c r="ET124" i="7"/>
  <c r="ES124" i="7"/>
  <c r="ER124" i="7"/>
  <c r="EQ124" i="7"/>
  <c r="EP124" i="7"/>
  <c r="EO124" i="7"/>
  <c r="EN124" i="7"/>
  <c r="EM124" i="7"/>
  <c r="EL124" i="7"/>
  <c r="EK124" i="7"/>
  <c r="EJ124" i="7"/>
  <c r="EI124" i="7"/>
  <c r="EH124" i="7"/>
  <c r="EG124" i="7"/>
  <c r="EF124" i="7"/>
  <c r="EE124" i="7"/>
  <c r="ED124" i="7"/>
  <c r="EC124" i="7"/>
  <c r="EB124" i="7"/>
  <c r="EA124" i="7"/>
  <c r="DZ124" i="7"/>
  <c r="DY124" i="7"/>
  <c r="DX124" i="7"/>
  <c r="DW124" i="7"/>
  <c r="DV124" i="7"/>
  <c r="DU124" i="7"/>
  <c r="DT124" i="7"/>
  <c r="DS124" i="7"/>
  <c r="DR124" i="7"/>
  <c r="DQ124" i="7"/>
  <c r="DP124" i="7"/>
  <c r="DO124" i="7"/>
  <c r="DN124" i="7"/>
  <c r="DM124" i="7"/>
  <c r="DL124" i="7"/>
  <c r="DK124" i="7"/>
  <c r="DJ124" i="7"/>
  <c r="DI124" i="7"/>
  <c r="DH124" i="7"/>
  <c r="DG124" i="7"/>
  <c r="DF124" i="7"/>
  <c r="DE124" i="7"/>
  <c r="DD124" i="7"/>
  <c r="DC124" i="7"/>
  <c r="DB124" i="7"/>
  <c r="DA124" i="7"/>
  <c r="CZ124" i="7"/>
  <c r="CY124" i="7"/>
  <c r="CX124" i="7"/>
  <c r="CW124" i="7"/>
  <c r="CV124" i="7"/>
  <c r="CU124" i="7"/>
  <c r="CT124" i="7"/>
  <c r="CS124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CB124" i="7"/>
  <c r="CA124" i="7"/>
  <c r="BZ124" i="7"/>
  <c r="BY124" i="7"/>
  <c r="BX124" i="7"/>
  <c r="BW124" i="7"/>
  <c r="BV124" i="7"/>
  <c r="BU124" i="7"/>
  <c r="BT124" i="7"/>
  <c r="BS124" i="7"/>
  <c r="BR124" i="7"/>
  <c r="BQ124" i="7"/>
  <c r="BP124" i="7"/>
  <c r="BO124" i="7"/>
  <c r="BN124" i="7"/>
  <c r="BM124" i="7"/>
  <c r="BL124" i="7"/>
  <c r="BK124" i="7"/>
  <c r="BJ124" i="7"/>
  <c r="BI124" i="7"/>
  <c r="BH124" i="7"/>
  <c r="BG124" i="7"/>
  <c r="BF124" i="7"/>
  <c r="BE124" i="7"/>
  <c r="BD124" i="7"/>
  <c r="BC124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B124" i="7"/>
  <c r="A124" i="7"/>
  <c r="IV123" i="7"/>
  <c r="IU123" i="7"/>
  <c r="IT123" i="7"/>
  <c r="IS123" i="7"/>
  <c r="IR123" i="7"/>
  <c r="IQ123" i="7"/>
  <c r="IP123" i="7"/>
  <c r="IO123" i="7"/>
  <c r="IN123" i="7"/>
  <c r="IM123" i="7"/>
  <c r="IL123" i="7"/>
  <c r="IK123" i="7"/>
  <c r="IJ123" i="7"/>
  <c r="II123" i="7"/>
  <c r="IH123" i="7"/>
  <c r="IG123" i="7"/>
  <c r="IF123" i="7"/>
  <c r="IE123" i="7"/>
  <c r="ID123" i="7"/>
  <c r="IC123" i="7"/>
  <c r="IB123" i="7"/>
  <c r="IA123" i="7"/>
  <c r="HZ123" i="7"/>
  <c r="HY123" i="7"/>
  <c r="HX123" i="7"/>
  <c r="HW123" i="7"/>
  <c r="HV123" i="7"/>
  <c r="HU123" i="7"/>
  <c r="HT123" i="7"/>
  <c r="HS123" i="7"/>
  <c r="HR123" i="7"/>
  <c r="HQ123" i="7"/>
  <c r="HP123" i="7"/>
  <c r="HO123" i="7"/>
  <c r="HN123" i="7"/>
  <c r="HM123" i="7"/>
  <c r="HL123" i="7"/>
  <c r="HK123" i="7"/>
  <c r="HJ123" i="7"/>
  <c r="HI123" i="7"/>
  <c r="HH123" i="7"/>
  <c r="HG123" i="7"/>
  <c r="HF123" i="7"/>
  <c r="HE123" i="7"/>
  <c r="HD123" i="7"/>
  <c r="HC123" i="7"/>
  <c r="HB123" i="7"/>
  <c r="HA123" i="7"/>
  <c r="GZ123" i="7"/>
  <c r="GY123" i="7"/>
  <c r="GX123" i="7"/>
  <c r="GW123" i="7"/>
  <c r="GV123" i="7"/>
  <c r="GU123" i="7"/>
  <c r="GT123" i="7"/>
  <c r="GS123" i="7"/>
  <c r="GR123" i="7"/>
  <c r="GQ123" i="7"/>
  <c r="GP123" i="7"/>
  <c r="GO123" i="7"/>
  <c r="GN123" i="7"/>
  <c r="GM123" i="7"/>
  <c r="GL123" i="7"/>
  <c r="GK123" i="7"/>
  <c r="GJ123" i="7"/>
  <c r="GI123" i="7"/>
  <c r="GH123" i="7"/>
  <c r="GG123" i="7"/>
  <c r="GF123" i="7"/>
  <c r="GE123" i="7"/>
  <c r="GD123" i="7"/>
  <c r="GC123" i="7"/>
  <c r="GB123" i="7"/>
  <c r="GA123" i="7"/>
  <c r="FZ123" i="7"/>
  <c r="FY123" i="7"/>
  <c r="FX123" i="7"/>
  <c r="FW123" i="7"/>
  <c r="FV123" i="7"/>
  <c r="FU123" i="7"/>
  <c r="FT123" i="7"/>
  <c r="FS123" i="7"/>
  <c r="FR123" i="7"/>
  <c r="FQ123" i="7"/>
  <c r="FP123" i="7"/>
  <c r="FO123" i="7"/>
  <c r="FN123" i="7"/>
  <c r="FM123" i="7"/>
  <c r="FL123" i="7"/>
  <c r="FK123" i="7"/>
  <c r="FJ123" i="7"/>
  <c r="FI123" i="7"/>
  <c r="FH123" i="7"/>
  <c r="FG123" i="7"/>
  <c r="FF123" i="7"/>
  <c r="FE123" i="7"/>
  <c r="FD123" i="7"/>
  <c r="FC123" i="7"/>
  <c r="FB123" i="7"/>
  <c r="FA123" i="7"/>
  <c r="EZ123" i="7"/>
  <c r="EY123" i="7"/>
  <c r="EX123" i="7"/>
  <c r="EW123" i="7"/>
  <c r="EV123" i="7"/>
  <c r="EU123" i="7"/>
  <c r="ET123" i="7"/>
  <c r="ES123" i="7"/>
  <c r="ER123" i="7"/>
  <c r="EQ123" i="7"/>
  <c r="EP123" i="7"/>
  <c r="EO123" i="7"/>
  <c r="EN123" i="7"/>
  <c r="EM123" i="7"/>
  <c r="EL123" i="7"/>
  <c r="EK123" i="7"/>
  <c r="EJ123" i="7"/>
  <c r="EI123" i="7"/>
  <c r="EH123" i="7"/>
  <c r="EG123" i="7"/>
  <c r="EF123" i="7"/>
  <c r="EE123" i="7"/>
  <c r="ED123" i="7"/>
  <c r="EC123" i="7"/>
  <c r="EB123" i="7"/>
  <c r="EA123" i="7"/>
  <c r="DZ123" i="7"/>
  <c r="DY123" i="7"/>
  <c r="DX123" i="7"/>
  <c r="DW123" i="7"/>
  <c r="DV123" i="7"/>
  <c r="DU123" i="7"/>
  <c r="DT123" i="7"/>
  <c r="DS123" i="7"/>
  <c r="DR123" i="7"/>
  <c r="DQ123" i="7"/>
  <c r="DP123" i="7"/>
  <c r="DO123" i="7"/>
  <c r="DN123" i="7"/>
  <c r="DM123" i="7"/>
  <c r="DL123" i="7"/>
  <c r="DK123" i="7"/>
  <c r="DJ123" i="7"/>
  <c r="DI123" i="7"/>
  <c r="DH123" i="7"/>
  <c r="DG123" i="7"/>
  <c r="DF123" i="7"/>
  <c r="DE123" i="7"/>
  <c r="DD123" i="7"/>
  <c r="DC123" i="7"/>
  <c r="DB123" i="7"/>
  <c r="DA123" i="7"/>
  <c r="CZ123" i="7"/>
  <c r="CY123" i="7"/>
  <c r="CX123" i="7"/>
  <c r="CW123" i="7"/>
  <c r="CV123" i="7"/>
  <c r="CU123" i="7"/>
  <c r="CT123" i="7"/>
  <c r="CS123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CB123" i="7"/>
  <c r="CA123" i="7"/>
  <c r="BZ123" i="7"/>
  <c r="BY123" i="7"/>
  <c r="BX123" i="7"/>
  <c r="BW123" i="7"/>
  <c r="BV123" i="7"/>
  <c r="BU123" i="7"/>
  <c r="BT123" i="7"/>
  <c r="BS123" i="7"/>
  <c r="BR123" i="7"/>
  <c r="BQ123" i="7"/>
  <c r="BP123" i="7"/>
  <c r="BO123" i="7"/>
  <c r="BN123" i="7"/>
  <c r="BM123" i="7"/>
  <c r="BL123" i="7"/>
  <c r="BK123" i="7"/>
  <c r="BJ123" i="7"/>
  <c r="BI123" i="7"/>
  <c r="BH123" i="7"/>
  <c r="BG123" i="7"/>
  <c r="BF123" i="7"/>
  <c r="BE123" i="7"/>
  <c r="BD123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A123" i="7"/>
  <c r="IV122" i="7"/>
  <c r="IU122" i="7"/>
  <c r="IT122" i="7"/>
  <c r="IS122" i="7"/>
  <c r="IR122" i="7"/>
  <c r="IQ122" i="7"/>
  <c r="IP122" i="7"/>
  <c r="IO122" i="7"/>
  <c r="IN122" i="7"/>
  <c r="IM122" i="7"/>
  <c r="IL122" i="7"/>
  <c r="IK122" i="7"/>
  <c r="IJ122" i="7"/>
  <c r="II122" i="7"/>
  <c r="IH122" i="7"/>
  <c r="IG122" i="7"/>
  <c r="IF122" i="7"/>
  <c r="IE122" i="7"/>
  <c r="ID122" i="7"/>
  <c r="IC122" i="7"/>
  <c r="IB122" i="7"/>
  <c r="IA122" i="7"/>
  <c r="HZ122" i="7"/>
  <c r="HY122" i="7"/>
  <c r="HX122" i="7"/>
  <c r="HW122" i="7"/>
  <c r="HV122" i="7"/>
  <c r="HU122" i="7"/>
  <c r="HT122" i="7"/>
  <c r="HS122" i="7"/>
  <c r="HR122" i="7"/>
  <c r="HQ122" i="7"/>
  <c r="HP122" i="7"/>
  <c r="HO122" i="7"/>
  <c r="HN122" i="7"/>
  <c r="HM122" i="7"/>
  <c r="HL122" i="7"/>
  <c r="HK122" i="7"/>
  <c r="HJ122" i="7"/>
  <c r="HI122" i="7"/>
  <c r="HH122" i="7"/>
  <c r="HG122" i="7"/>
  <c r="HF122" i="7"/>
  <c r="HE122" i="7"/>
  <c r="HD122" i="7"/>
  <c r="HC122" i="7"/>
  <c r="HB122" i="7"/>
  <c r="HA122" i="7"/>
  <c r="GZ122" i="7"/>
  <c r="GY122" i="7"/>
  <c r="GX122" i="7"/>
  <c r="GW122" i="7"/>
  <c r="GV122" i="7"/>
  <c r="GU122" i="7"/>
  <c r="GT122" i="7"/>
  <c r="GS122" i="7"/>
  <c r="GR122" i="7"/>
  <c r="GQ122" i="7"/>
  <c r="GP122" i="7"/>
  <c r="GO122" i="7"/>
  <c r="GN122" i="7"/>
  <c r="GM122" i="7"/>
  <c r="GL122" i="7"/>
  <c r="GK122" i="7"/>
  <c r="GJ122" i="7"/>
  <c r="GI122" i="7"/>
  <c r="GH122" i="7"/>
  <c r="GG122" i="7"/>
  <c r="GF122" i="7"/>
  <c r="GE122" i="7"/>
  <c r="GD122" i="7"/>
  <c r="GC122" i="7"/>
  <c r="GB122" i="7"/>
  <c r="GA122" i="7"/>
  <c r="FZ122" i="7"/>
  <c r="FY122" i="7"/>
  <c r="FX122" i="7"/>
  <c r="FW122" i="7"/>
  <c r="FV122" i="7"/>
  <c r="FU122" i="7"/>
  <c r="FT122" i="7"/>
  <c r="FS122" i="7"/>
  <c r="FR122" i="7"/>
  <c r="FQ122" i="7"/>
  <c r="FP122" i="7"/>
  <c r="FO122" i="7"/>
  <c r="FN122" i="7"/>
  <c r="FM122" i="7"/>
  <c r="FL122" i="7"/>
  <c r="FK122" i="7"/>
  <c r="FJ122" i="7"/>
  <c r="FI122" i="7"/>
  <c r="FH122" i="7"/>
  <c r="FG122" i="7"/>
  <c r="FF122" i="7"/>
  <c r="FE122" i="7"/>
  <c r="FD122" i="7"/>
  <c r="FC122" i="7"/>
  <c r="FB122" i="7"/>
  <c r="FA122" i="7"/>
  <c r="EZ122" i="7"/>
  <c r="EY122" i="7"/>
  <c r="EX122" i="7"/>
  <c r="EW122" i="7"/>
  <c r="EV122" i="7"/>
  <c r="EU122" i="7"/>
  <c r="ET122" i="7"/>
  <c r="ES122" i="7"/>
  <c r="ER122" i="7"/>
  <c r="EQ122" i="7"/>
  <c r="EP122" i="7"/>
  <c r="EO122" i="7"/>
  <c r="EN122" i="7"/>
  <c r="EM122" i="7"/>
  <c r="EL122" i="7"/>
  <c r="EK122" i="7"/>
  <c r="EJ122" i="7"/>
  <c r="EI122" i="7"/>
  <c r="EH122" i="7"/>
  <c r="EG122" i="7"/>
  <c r="EF122" i="7"/>
  <c r="EE122" i="7"/>
  <c r="ED122" i="7"/>
  <c r="EC122" i="7"/>
  <c r="EB122" i="7"/>
  <c r="EA122" i="7"/>
  <c r="DZ122" i="7"/>
  <c r="DY122" i="7"/>
  <c r="DX122" i="7"/>
  <c r="DW122" i="7"/>
  <c r="DV122" i="7"/>
  <c r="DU122" i="7"/>
  <c r="DT122" i="7"/>
  <c r="DS122" i="7"/>
  <c r="DR122" i="7"/>
  <c r="DQ122" i="7"/>
  <c r="DP122" i="7"/>
  <c r="DO122" i="7"/>
  <c r="DN122" i="7"/>
  <c r="DM122" i="7"/>
  <c r="DL122" i="7"/>
  <c r="DK122" i="7"/>
  <c r="DJ122" i="7"/>
  <c r="DI122" i="7"/>
  <c r="DH122" i="7"/>
  <c r="DG122" i="7"/>
  <c r="DF122" i="7"/>
  <c r="DE122" i="7"/>
  <c r="DD122" i="7"/>
  <c r="DC122" i="7"/>
  <c r="DB122" i="7"/>
  <c r="DA122" i="7"/>
  <c r="CZ122" i="7"/>
  <c r="CY122" i="7"/>
  <c r="CX122" i="7"/>
  <c r="CW122" i="7"/>
  <c r="CV122" i="7"/>
  <c r="CU122" i="7"/>
  <c r="CT122" i="7"/>
  <c r="CS122" i="7"/>
  <c r="CR122" i="7"/>
  <c r="CQ122" i="7"/>
  <c r="CP122" i="7"/>
  <c r="CO122" i="7"/>
  <c r="CN122" i="7"/>
  <c r="CM122" i="7"/>
  <c r="CL122" i="7"/>
  <c r="CK122" i="7"/>
  <c r="CJ122" i="7"/>
  <c r="CI122" i="7"/>
  <c r="CH122" i="7"/>
  <c r="CG122" i="7"/>
  <c r="CF122" i="7"/>
  <c r="CE122" i="7"/>
  <c r="CD122" i="7"/>
  <c r="CC122" i="7"/>
  <c r="CB122" i="7"/>
  <c r="CA122" i="7"/>
  <c r="BZ122" i="7"/>
  <c r="BY122" i="7"/>
  <c r="BX122" i="7"/>
  <c r="BW122" i="7"/>
  <c r="BV122" i="7"/>
  <c r="BU122" i="7"/>
  <c r="BT122" i="7"/>
  <c r="BS122" i="7"/>
  <c r="BR122" i="7"/>
  <c r="BQ122" i="7"/>
  <c r="BP122" i="7"/>
  <c r="BO122" i="7"/>
  <c r="BN122" i="7"/>
  <c r="BM122" i="7"/>
  <c r="BL122" i="7"/>
  <c r="BK122" i="7"/>
  <c r="BJ122" i="7"/>
  <c r="BI122" i="7"/>
  <c r="BH122" i="7"/>
  <c r="BG122" i="7"/>
  <c r="BF122" i="7"/>
  <c r="BE122" i="7"/>
  <c r="BD122" i="7"/>
  <c r="BC122" i="7"/>
  <c r="BB122" i="7"/>
  <c r="BA122" i="7"/>
  <c r="AZ122" i="7"/>
  <c r="AY122" i="7"/>
  <c r="AX122" i="7"/>
  <c r="AW122" i="7"/>
  <c r="AV122" i="7"/>
  <c r="AU122" i="7"/>
  <c r="AT122" i="7"/>
  <c r="AS122" i="7"/>
  <c r="AR122" i="7"/>
  <c r="AQ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B122" i="7"/>
  <c r="A122" i="7"/>
  <c r="IV121" i="7"/>
  <c r="IU121" i="7"/>
  <c r="IT121" i="7"/>
  <c r="IS121" i="7"/>
  <c r="IR121" i="7"/>
  <c r="IQ121" i="7"/>
  <c r="IP121" i="7"/>
  <c r="IO121" i="7"/>
  <c r="IN121" i="7"/>
  <c r="IM121" i="7"/>
  <c r="IL121" i="7"/>
  <c r="IK121" i="7"/>
  <c r="IJ121" i="7"/>
  <c r="II121" i="7"/>
  <c r="IH121" i="7"/>
  <c r="IG121" i="7"/>
  <c r="IF121" i="7"/>
  <c r="IE121" i="7"/>
  <c r="ID121" i="7"/>
  <c r="IC121" i="7"/>
  <c r="IB121" i="7"/>
  <c r="IA121" i="7"/>
  <c r="HZ121" i="7"/>
  <c r="HY121" i="7"/>
  <c r="HX121" i="7"/>
  <c r="HW121" i="7"/>
  <c r="HV121" i="7"/>
  <c r="HU121" i="7"/>
  <c r="HT121" i="7"/>
  <c r="HS121" i="7"/>
  <c r="HR121" i="7"/>
  <c r="HQ121" i="7"/>
  <c r="HP121" i="7"/>
  <c r="HO121" i="7"/>
  <c r="HN121" i="7"/>
  <c r="HM121" i="7"/>
  <c r="HL121" i="7"/>
  <c r="HK121" i="7"/>
  <c r="HJ121" i="7"/>
  <c r="HI121" i="7"/>
  <c r="HH121" i="7"/>
  <c r="HG121" i="7"/>
  <c r="HF121" i="7"/>
  <c r="HE121" i="7"/>
  <c r="HD121" i="7"/>
  <c r="HC121" i="7"/>
  <c r="HB121" i="7"/>
  <c r="HA121" i="7"/>
  <c r="GZ121" i="7"/>
  <c r="GY121" i="7"/>
  <c r="GX121" i="7"/>
  <c r="GW121" i="7"/>
  <c r="GV121" i="7"/>
  <c r="GU121" i="7"/>
  <c r="GT121" i="7"/>
  <c r="GS121" i="7"/>
  <c r="GR121" i="7"/>
  <c r="GQ121" i="7"/>
  <c r="GP121" i="7"/>
  <c r="GO121" i="7"/>
  <c r="GN121" i="7"/>
  <c r="GM121" i="7"/>
  <c r="GL121" i="7"/>
  <c r="GK121" i="7"/>
  <c r="GJ121" i="7"/>
  <c r="GI121" i="7"/>
  <c r="GH121" i="7"/>
  <c r="GG121" i="7"/>
  <c r="GF121" i="7"/>
  <c r="GE121" i="7"/>
  <c r="GD121" i="7"/>
  <c r="GC121" i="7"/>
  <c r="GB121" i="7"/>
  <c r="GA121" i="7"/>
  <c r="FZ121" i="7"/>
  <c r="FY121" i="7"/>
  <c r="FX121" i="7"/>
  <c r="FW121" i="7"/>
  <c r="FV121" i="7"/>
  <c r="FU121" i="7"/>
  <c r="FT121" i="7"/>
  <c r="FS121" i="7"/>
  <c r="FR121" i="7"/>
  <c r="FQ121" i="7"/>
  <c r="FP121" i="7"/>
  <c r="FO121" i="7"/>
  <c r="FN121" i="7"/>
  <c r="FM121" i="7"/>
  <c r="FL121" i="7"/>
  <c r="FK121" i="7"/>
  <c r="FJ121" i="7"/>
  <c r="FI121" i="7"/>
  <c r="FH121" i="7"/>
  <c r="FG121" i="7"/>
  <c r="FF121" i="7"/>
  <c r="FE121" i="7"/>
  <c r="FD121" i="7"/>
  <c r="FC121" i="7"/>
  <c r="FB121" i="7"/>
  <c r="FA121" i="7"/>
  <c r="EZ121" i="7"/>
  <c r="EY121" i="7"/>
  <c r="EX121" i="7"/>
  <c r="EW121" i="7"/>
  <c r="EV121" i="7"/>
  <c r="EU121" i="7"/>
  <c r="ET121" i="7"/>
  <c r="ES121" i="7"/>
  <c r="ER121" i="7"/>
  <c r="EQ121" i="7"/>
  <c r="EP121" i="7"/>
  <c r="EO121" i="7"/>
  <c r="EN121" i="7"/>
  <c r="EM121" i="7"/>
  <c r="EL121" i="7"/>
  <c r="EK121" i="7"/>
  <c r="EJ121" i="7"/>
  <c r="EI121" i="7"/>
  <c r="EH121" i="7"/>
  <c r="EG121" i="7"/>
  <c r="EF121" i="7"/>
  <c r="EE121" i="7"/>
  <c r="ED121" i="7"/>
  <c r="EC121" i="7"/>
  <c r="EB121" i="7"/>
  <c r="EA121" i="7"/>
  <c r="DZ121" i="7"/>
  <c r="DY121" i="7"/>
  <c r="DX121" i="7"/>
  <c r="DW121" i="7"/>
  <c r="DV121" i="7"/>
  <c r="DU121" i="7"/>
  <c r="DT121" i="7"/>
  <c r="DS121" i="7"/>
  <c r="DR121" i="7"/>
  <c r="DQ121" i="7"/>
  <c r="DP121" i="7"/>
  <c r="DO121" i="7"/>
  <c r="DN121" i="7"/>
  <c r="DM121" i="7"/>
  <c r="DL121" i="7"/>
  <c r="DK121" i="7"/>
  <c r="DJ121" i="7"/>
  <c r="DI121" i="7"/>
  <c r="DH121" i="7"/>
  <c r="DG121" i="7"/>
  <c r="DF121" i="7"/>
  <c r="DE121" i="7"/>
  <c r="DD121" i="7"/>
  <c r="DC121" i="7"/>
  <c r="DB121" i="7"/>
  <c r="DA121" i="7"/>
  <c r="CZ121" i="7"/>
  <c r="CY121" i="7"/>
  <c r="CX121" i="7"/>
  <c r="CW121" i="7"/>
  <c r="CV121" i="7"/>
  <c r="CU121" i="7"/>
  <c r="CT121" i="7"/>
  <c r="CS121" i="7"/>
  <c r="CR121" i="7"/>
  <c r="CQ121" i="7"/>
  <c r="CP121" i="7"/>
  <c r="CO121" i="7"/>
  <c r="CN121" i="7"/>
  <c r="CM121" i="7"/>
  <c r="CL121" i="7"/>
  <c r="CK121" i="7"/>
  <c r="CJ121" i="7"/>
  <c r="CI121" i="7"/>
  <c r="CH121" i="7"/>
  <c r="CG121" i="7"/>
  <c r="CF121" i="7"/>
  <c r="CE121" i="7"/>
  <c r="CD121" i="7"/>
  <c r="CC121" i="7"/>
  <c r="CB121" i="7"/>
  <c r="CA121" i="7"/>
  <c r="BZ121" i="7"/>
  <c r="BY121" i="7"/>
  <c r="BX121" i="7"/>
  <c r="BW121" i="7"/>
  <c r="BV121" i="7"/>
  <c r="BU121" i="7"/>
  <c r="BT121" i="7"/>
  <c r="BS121" i="7"/>
  <c r="BR121" i="7"/>
  <c r="BQ121" i="7"/>
  <c r="BP121" i="7"/>
  <c r="BO121" i="7"/>
  <c r="BN121" i="7"/>
  <c r="BM121" i="7"/>
  <c r="BL121" i="7"/>
  <c r="BK121" i="7"/>
  <c r="BJ121" i="7"/>
  <c r="BI121" i="7"/>
  <c r="BH121" i="7"/>
  <c r="BG121" i="7"/>
  <c r="BF121" i="7"/>
  <c r="BE121" i="7"/>
  <c r="BD121" i="7"/>
  <c r="BC121" i="7"/>
  <c r="BB121" i="7"/>
  <c r="BA121" i="7"/>
  <c r="AZ121" i="7"/>
  <c r="AY121" i="7"/>
  <c r="AX121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B121" i="7"/>
  <c r="A121" i="7"/>
  <c r="IV120" i="7"/>
  <c r="IU120" i="7"/>
  <c r="IT120" i="7"/>
  <c r="IS120" i="7"/>
  <c r="IR120" i="7"/>
  <c r="IQ120" i="7"/>
  <c r="IP120" i="7"/>
  <c r="IO120" i="7"/>
  <c r="IN120" i="7"/>
  <c r="IM120" i="7"/>
  <c r="IL120" i="7"/>
  <c r="IK120" i="7"/>
  <c r="IJ120" i="7"/>
  <c r="II120" i="7"/>
  <c r="IH120" i="7"/>
  <c r="IG120" i="7"/>
  <c r="IF120" i="7"/>
  <c r="IE120" i="7"/>
  <c r="ID120" i="7"/>
  <c r="IC120" i="7"/>
  <c r="IB120" i="7"/>
  <c r="IA120" i="7"/>
  <c r="HZ120" i="7"/>
  <c r="HY120" i="7"/>
  <c r="HX120" i="7"/>
  <c r="HW120" i="7"/>
  <c r="HV120" i="7"/>
  <c r="HU120" i="7"/>
  <c r="HT120" i="7"/>
  <c r="HS120" i="7"/>
  <c r="HR120" i="7"/>
  <c r="HQ120" i="7"/>
  <c r="HP120" i="7"/>
  <c r="HO120" i="7"/>
  <c r="HN120" i="7"/>
  <c r="HM120" i="7"/>
  <c r="HL120" i="7"/>
  <c r="HK120" i="7"/>
  <c r="HJ120" i="7"/>
  <c r="HI120" i="7"/>
  <c r="HH120" i="7"/>
  <c r="HG120" i="7"/>
  <c r="HF120" i="7"/>
  <c r="HE120" i="7"/>
  <c r="HD120" i="7"/>
  <c r="HC120" i="7"/>
  <c r="HB120" i="7"/>
  <c r="HA120" i="7"/>
  <c r="GZ120" i="7"/>
  <c r="GY120" i="7"/>
  <c r="GX120" i="7"/>
  <c r="GW120" i="7"/>
  <c r="GV120" i="7"/>
  <c r="GU120" i="7"/>
  <c r="GT120" i="7"/>
  <c r="GS120" i="7"/>
  <c r="GR120" i="7"/>
  <c r="GQ120" i="7"/>
  <c r="GP120" i="7"/>
  <c r="GO120" i="7"/>
  <c r="GN120" i="7"/>
  <c r="GM120" i="7"/>
  <c r="GL120" i="7"/>
  <c r="GK120" i="7"/>
  <c r="GJ120" i="7"/>
  <c r="GI120" i="7"/>
  <c r="GH120" i="7"/>
  <c r="GG120" i="7"/>
  <c r="GF120" i="7"/>
  <c r="GE120" i="7"/>
  <c r="GD120" i="7"/>
  <c r="GC120" i="7"/>
  <c r="GB120" i="7"/>
  <c r="GA120" i="7"/>
  <c r="FZ120" i="7"/>
  <c r="FY120" i="7"/>
  <c r="FX120" i="7"/>
  <c r="FW120" i="7"/>
  <c r="FV120" i="7"/>
  <c r="FU120" i="7"/>
  <c r="FT120" i="7"/>
  <c r="FS120" i="7"/>
  <c r="FR120" i="7"/>
  <c r="FQ120" i="7"/>
  <c r="FP120" i="7"/>
  <c r="FO120" i="7"/>
  <c r="FN120" i="7"/>
  <c r="FM120" i="7"/>
  <c r="FL120" i="7"/>
  <c r="FK120" i="7"/>
  <c r="FJ120" i="7"/>
  <c r="FI120" i="7"/>
  <c r="FH120" i="7"/>
  <c r="FG120" i="7"/>
  <c r="FF120" i="7"/>
  <c r="FE120" i="7"/>
  <c r="FD120" i="7"/>
  <c r="FC120" i="7"/>
  <c r="FB120" i="7"/>
  <c r="FA120" i="7"/>
  <c r="EZ120" i="7"/>
  <c r="EY120" i="7"/>
  <c r="EX120" i="7"/>
  <c r="EW120" i="7"/>
  <c r="EV120" i="7"/>
  <c r="EU120" i="7"/>
  <c r="ET120" i="7"/>
  <c r="ES120" i="7"/>
  <c r="ER120" i="7"/>
  <c r="EQ120" i="7"/>
  <c r="EP120" i="7"/>
  <c r="EO120" i="7"/>
  <c r="EN120" i="7"/>
  <c r="EM120" i="7"/>
  <c r="EL120" i="7"/>
  <c r="EK120" i="7"/>
  <c r="EJ120" i="7"/>
  <c r="EI120" i="7"/>
  <c r="EH120" i="7"/>
  <c r="EG120" i="7"/>
  <c r="EF120" i="7"/>
  <c r="EE120" i="7"/>
  <c r="ED120" i="7"/>
  <c r="EC120" i="7"/>
  <c r="EB120" i="7"/>
  <c r="EA120" i="7"/>
  <c r="DZ120" i="7"/>
  <c r="DY120" i="7"/>
  <c r="DX120" i="7"/>
  <c r="DW120" i="7"/>
  <c r="DV120" i="7"/>
  <c r="DU120" i="7"/>
  <c r="DT120" i="7"/>
  <c r="DS120" i="7"/>
  <c r="DR120" i="7"/>
  <c r="DQ120" i="7"/>
  <c r="DP120" i="7"/>
  <c r="DO120" i="7"/>
  <c r="DN120" i="7"/>
  <c r="DM120" i="7"/>
  <c r="DL120" i="7"/>
  <c r="DK120" i="7"/>
  <c r="DJ120" i="7"/>
  <c r="DI120" i="7"/>
  <c r="DH120" i="7"/>
  <c r="DG120" i="7"/>
  <c r="DF120" i="7"/>
  <c r="DE120" i="7"/>
  <c r="DD120" i="7"/>
  <c r="DC120" i="7"/>
  <c r="DB120" i="7"/>
  <c r="DA120" i="7"/>
  <c r="CZ120" i="7"/>
  <c r="CY120" i="7"/>
  <c r="CX120" i="7"/>
  <c r="CW120" i="7"/>
  <c r="CV120" i="7"/>
  <c r="CU120" i="7"/>
  <c r="CT120" i="7"/>
  <c r="CS120" i="7"/>
  <c r="CR120" i="7"/>
  <c r="CQ120" i="7"/>
  <c r="CP120" i="7"/>
  <c r="CO120" i="7"/>
  <c r="CN120" i="7"/>
  <c r="CM120" i="7"/>
  <c r="CL120" i="7"/>
  <c r="CK120" i="7"/>
  <c r="CJ120" i="7"/>
  <c r="CI120" i="7"/>
  <c r="CH120" i="7"/>
  <c r="CG120" i="7"/>
  <c r="CF120" i="7"/>
  <c r="CE120" i="7"/>
  <c r="CD120" i="7"/>
  <c r="CC120" i="7"/>
  <c r="CB120" i="7"/>
  <c r="CA120" i="7"/>
  <c r="BZ120" i="7"/>
  <c r="BY120" i="7"/>
  <c r="BX120" i="7"/>
  <c r="BW120" i="7"/>
  <c r="BV120" i="7"/>
  <c r="BU120" i="7"/>
  <c r="BT120" i="7"/>
  <c r="BS120" i="7"/>
  <c r="BR120" i="7"/>
  <c r="BQ120" i="7"/>
  <c r="BP120" i="7"/>
  <c r="BO120" i="7"/>
  <c r="BN120" i="7"/>
  <c r="BM120" i="7"/>
  <c r="BL120" i="7"/>
  <c r="BK120" i="7"/>
  <c r="BJ120" i="7"/>
  <c r="BI120" i="7"/>
  <c r="BH120" i="7"/>
  <c r="BG120" i="7"/>
  <c r="BF120" i="7"/>
  <c r="BE120" i="7"/>
  <c r="BD120" i="7"/>
  <c r="BC120" i="7"/>
  <c r="BB120" i="7"/>
  <c r="BA120" i="7"/>
  <c r="AZ120" i="7"/>
  <c r="AY120" i="7"/>
  <c r="AX120" i="7"/>
  <c r="AW120" i="7"/>
  <c r="AV120" i="7"/>
  <c r="AU120" i="7"/>
  <c r="AT120" i="7"/>
  <c r="AS120" i="7"/>
  <c r="AR120" i="7"/>
  <c r="AQ120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R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B120" i="7"/>
  <c r="A120" i="7"/>
  <c r="IV119" i="7"/>
  <c r="IU119" i="7"/>
  <c r="IT119" i="7"/>
  <c r="IS119" i="7"/>
  <c r="IR119" i="7"/>
  <c r="IQ119" i="7"/>
  <c r="IP119" i="7"/>
  <c r="IO119" i="7"/>
  <c r="IN119" i="7"/>
  <c r="IM119" i="7"/>
  <c r="IL119" i="7"/>
  <c r="IK119" i="7"/>
  <c r="IJ119" i="7"/>
  <c r="II119" i="7"/>
  <c r="IH119" i="7"/>
  <c r="IG119" i="7"/>
  <c r="IF119" i="7"/>
  <c r="IE119" i="7"/>
  <c r="ID119" i="7"/>
  <c r="IC119" i="7"/>
  <c r="IB119" i="7"/>
  <c r="IA119" i="7"/>
  <c r="HZ119" i="7"/>
  <c r="HY119" i="7"/>
  <c r="HX119" i="7"/>
  <c r="HW119" i="7"/>
  <c r="HV119" i="7"/>
  <c r="HU119" i="7"/>
  <c r="HT119" i="7"/>
  <c r="HS119" i="7"/>
  <c r="HR119" i="7"/>
  <c r="HQ119" i="7"/>
  <c r="HP119" i="7"/>
  <c r="HO119" i="7"/>
  <c r="HN119" i="7"/>
  <c r="HM119" i="7"/>
  <c r="HL119" i="7"/>
  <c r="HK119" i="7"/>
  <c r="HJ119" i="7"/>
  <c r="HI119" i="7"/>
  <c r="HH119" i="7"/>
  <c r="HG119" i="7"/>
  <c r="HF119" i="7"/>
  <c r="HE119" i="7"/>
  <c r="HD119" i="7"/>
  <c r="HC119" i="7"/>
  <c r="HB119" i="7"/>
  <c r="HA119" i="7"/>
  <c r="GZ119" i="7"/>
  <c r="GY119" i="7"/>
  <c r="GX119" i="7"/>
  <c r="GW119" i="7"/>
  <c r="GV119" i="7"/>
  <c r="GU119" i="7"/>
  <c r="GT119" i="7"/>
  <c r="GS119" i="7"/>
  <c r="GR119" i="7"/>
  <c r="GQ119" i="7"/>
  <c r="GP119" i="7"/>
  <c r="GO119" i="7"/>
  <c r="GN119" i="7"/>
  <c r="GM119" i="7"/>
  <c r="GL119" i="7"/>
  <c r="GK119" i="7"/>
  <c r="GJ119" i="7"/>
  <c r="GI119" i="7"/>
  <c r="GH119" i="7"/>
  <c r="GG119" i="7"/>
  <c r="GF119" i="7"/>
  <c r="GE119" i="7"/>
  <c r="GD119" i="7"/>
  <c r="GC119" i="7"/>
  <c r="GB119" i="7"/>
  <c r="GA119" i="7"/>
  <c r="FZ119" i="7"/>
  <c r="FY119" i="7"/>
  <c r="FX119" i="7"/>
  <c r="FW119" i="7"/>
  <c r="FV119" i="7"/>
  <c r="FU119" i="7"/>
  <c r="FT119" i="7"/>
  <c r="FS119" i="7"/>
  <c r="FR119" i="7"/>
  <c r="FQ119" i="7"/>
  <c r="FP119" i="7"/>
  <c r="FO119" i="7"/>
  <c r="FN119" i="7"/>
  <c r="FM119" i="7"/>
  <c r="FL119" i="7"/>
  <c r="FK119" i="7"/>
  <c r="FJ119" i="7"/>
  <c r="FI119" i="7"/>
  <c r="FH119" i="7"/>
  <c r="FG119" i="7"/>
  <c r="FF119" i="7"/>
  <c r="FE119" i="7"/>
  <c r="FD119" i="7"/>
  <c r="FC119" i="7"/>
  <c r="FB119" i="7"/>
  <c r="FA119" i="7"/>
  <c r="EZ119" i="7"/>
  <c r="EY119" i="7"/>
  <c r="EX119" i="7"/>
  <c r="EW119" i="7"/>
  <c r="EV119" i="7"/>
  <c r="EU119" i="7"/>
  <c r="ET119" i="7"/>
  <c r="ES119" i="7"/>
  <c r="ER119" i="7"/>
  <c r="EQ119" i="7"/>
  <c r="EP119" i="7"/>
  <c r="EO119" i="7"/>
  <c r="EN119" i="7"/>
  <c r="EM119" i="7"/>
  <c r="EL119" i="7"/>
  <c r="EK119" i="7"/>
  <c r="EJ119" i="7"/>
  <c r="EI119" i="7"/>
  <c r="EH119" i="7"/>
  <c r="EG119" i="7"/>
  <c r="EF119" i="7"/>
  <c r="EE119" i="7"/>
  <c r="ED119" i="7"/>
  <c r="EC119" i="7"/>
  <c r="EB119" i="7"/>
  <c r="EA119" i="7"/>
  <c r="DZ119" i="7"/>
  <c r="DY119" i="7"/>
  <c r="DX119" i="7"/>
  <c r="DW119" i="7"/>
  <c r="DV119" i="7"/>
  <c r="DU119" i="7"/>
  <c r="DT119" i="7"/>
  <c r="DS119" i="7"/>
  <c r="DR119" i="7"/>
  <c r="DQ119" i="7"/>
  <c r="DP119" i="7"/>
  <c r="DO119" i="7"/>
  <c r="DN119" i="7"/>
  <c r="DM119" i="7"/>
  <c r="DL119" i="7"/>
  <c r="DK119" i="7"/>
  <c r="DJ119" i="7"/>
  <c r="DI119" i="7"/>
  <c r="DH119" i="7"/>
  <c r="DG119" i="7"/>
  <c r="DF119" i="7"/>
  <c r="DE119" i="7"/>
  <c r="DD119" i="7"/>
  <c r="DC119" i="7"/>
  <c r="DB119" i="7"/>
  <c r="DA119" i="7"/>
  <c r="CZ119" i="7"/>
  <c r="CY119" i="7"/>
  <c r="CX119" i="7"/>
  <c r="CW119" i="7"/>
  <c r="CV119" i="7"/>
  <c r="CU119" i="7"/>
  <c r="CT119" i="7"/>
  <c r="CS119" i="7"/>
  <c r="CR119" i="7"/>
  <c r="CQ119" i="7"/>
  <c r="CP119" i="7"/>
  <c r="CO119" i="7"/>
  <c r="CN119" i="7"/>
  <c r="CM119" i="7"/>
  <c r="CL119" i="7"/>
  <c r="CK119" i="7"/>
  <c r="CJ119" i="7"/>
  <c r="CI119" i="7"/>
  <c r="CH119" i="7"/>
  <c r="CG119" i="7"/>
  <c r="CF119" i="7"/>
  <c r="CE119" i="7"/>
  <c r="CD119" i="7"/>
  <c r="CC119" i="7"/>
  <c r="CB119" i="7"/>
  <c r="CA119" i="7"/>
  <c r="BZ119" i="7"/>
  <c r="BY119" i="7"/>
  <c r="BX119" i="7"/>
  <c r="BW119" i="7"/>
  <c r="BV119" i="7"/>
  <c r="BU119" i="7"/>
  <c r="BT119" i="7"/>
  <c r="BS119" i="7"/>
  <c r="BR119" i="7"/>
  <c r="BQ119" i="7"/>
  <c r="BP119" i="7"/>
  <c r="BO119" i="7"/>
  <c r="BN119" i="7"/>
  <c r="BM119" i="7"/>
  <c r="BL119" i="7"/>
  <c r="BK119" i="7"/>
  <c r="BJ119" i="7"/>
  <c r="BI119" i="7"/>
  <c r="BH119" i="7"/>
  <c r="BG119" i="7"/>
  <c r="BF119" i="7"/>
  <c r="BE119" i="7"/>
  <c r="BD119" i="7"/>
  <c r="BC119" i="7"/>
  <c r="BB119" i="7"/>
  <c r="BA119" i="7"/>
  <c r="AZ119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A119" i="7"/>
  <c r="IV118" i="7"/>
  <c r="IU118" i="7"/>
  <c r="IT118" i="7"/>
  <c r="IS118" i="7"/>
  <c r="IR118" i="7"/>
  <c r="IQ118" i="7"/>
  <c r="IP118" i="7"/>
  <c r="IO118" i="7"/>
  <c r="IN118" i="7"/>
  <c r="IM118" i="7"/>
  <c r="IL118" i="7"/>
  <c r="IK118" i="7"/>
  <c r="IJ118" i="7"/>
  <c r="II118" i="7"/>
  <c r="IH118" i="7"/>
  <c r="IG118" i="7"/>
  <c r="IF118" i="7"/>
  <c r="IE118" i="7"/>
  <c r="ID118" i="7"/>
  <c r="IC118" i="7"/>
  <c r="IB118" i="7"/>
  <c r="IA118" i="7"/>
  <c r="HZ118" i="7"/>
  <c r="HY118" i="7"/>
  <c r="HX118" i="7"/>
  <c r="HW118" i="7"/>
  <c r="HV118" i="7"/>
  <c r="HU118" i="7"/>
  <c r="HT118" i="7"/>
  <c r="HS118" i="7"/>
  <c r="HR118" i="7"/>
  <c r="HQ118" i="7"/>
  <c r="HP118" i="7"/>
  <c r="HO118" i="7"/>
  <c r="HN118" i="7"/>
  <c r="HM118" i="7"/>
  <c r="HL118" i="7"/>
  <c r="HK118" i="7"/>
  <c r="HJ118" i="7"/>
  <c r="HI118" i="7"/>
  <c r="HH118" i="7"/>
  <c r="HG118" i="7"/>
  <c r="HF118" i="7"/>
  <c r="HE118" i="7"/>
  <c r="HD118" i="7"/>
  <c r="HC118" i="7"/>
  <c r="HB118" i="7"/>
  <c r="HA118" i="7"/>
  <c r="GZ118" i="7"/>
  <c r="GY118" i="7"/>
  <c r="GX118" i="7"/>
  <c r="GW118" i="7"/>
  <c r="GV118" i="7"/>
  <c r="GU118" i="7"/>
  <c r="GT118" i="7"/>
  <c r="GS118" i="7"/>
  <c r="GR118" i="7"/>
  <c r="GQ118" i="7"/>
  <c r="GP118" i="7"/>
  <c r="GO118" i="7"/>
  <c r="GN118" i="7"/>
  <c r="GM118" i="7"/>
  <c r="GL118" i="7"/>
  <c r="GK118" i="7"/>
  <c r="GJ118" i="7"/>
  <c r="GI118" i="7"/>
  <c r="GH118" i="7"/>
  <c r="GG118" i="7"/>
  <c r="GF118" i="7"/>
  <c r="GE118" i="7"/>
  <c r="GD118" i="7"/>
  <c r="GC118" i="7"/>
  <c r="GB118" i="7"/>
  <c r="GA118" i="7"/>
  <c r="FZ118" i="7"/>
  <c r="FY118" i="7"/>
  <c r="FX118" i="7"/>
  <c r="FW118" i="7"/>
  <c r="FV118" i="7"/>
  <c r="FU118" i="7"/>
  <c r="FT118" i="7"/>
  <c r="FS118" i="7"/>
  <c r="FR118" i="7"/>
  <c r="FQ118" i="7"/>
  <c r="FP118" i="7"/>
  <c r="FO118" i="7"/>
  <c r="FN118" i="7"/>
  <c r="FM118" i="7"/>
  <c r="FL118" i="7"/>
  <c r="FK118" i="7"/>
  <c r="FJ118" i="7"/>
  <c r="FI118" i="7"/>
  <c r="FH118" i="7"/>
  <c r="FG118" i="7"/>
  <c r="FF118" i="7"/>
  <c r="FE118" i="7"/>
  <c r="FD118" i="7"/>
  <c r="FC118" i="7"/>
  <c r="FB118" i="7"/>
  <c r="FA118" i="7"/>
  <c r="EZ118" i="7"/>
  <c r="EY118" i="7"/>
  <c r="EX118" i="7"/>
  <c r="EW118" i="7"/>
  <c r="EV118" i="7"/>
  <c r="EU118" i="7"/>
  <c r="ET118" i="7"/>
  <c r="ES118" i="7"/>
  <c r="ER118" i="7"/>
  <c r="EQ118" i="7"/>
  <c r="EP118" i="7"/>
  <c r="EO118" i="7"/>
  <c r="EN118" i="7"/>
  <c r="EM118" i="7"/>
  <c r="EL118" i="7"/>
  <c r="EK118" i="7"/>
  <c r="EJ118" i="7"/>
  <c r="EI118" i="7"/>
  <c r="EH118" i="7"/>
  <c r="EG118" i="7"/>
  <c r="EF118" i="7"/>
  <c r="EE118" i="7"/>
  <c r="ED118" i="7"/>
  <c r="EC118" i="7"/>
  <c r="EB118" i="7"/>
  <c r="EA118" i="7"/>
  <c r="DZ118" i="7"/>
  <c r="DY118" i="7"/>
  <c r="DX118" i="7"/>
  <c r="DW118" i="7"/>
  <c r="DV118" i="7"/>
  <c r="DU118" i="7"/>
  <c r="DT118" i="7"/>
  <c r="DS118" i="7"/>
  <c r="DR118" i="7"/>
  <c r="DQ118" i="7"/>
  <c r="DP118" i="7"/>
  <c r="DO118" i="7"/>
  <c r="DN118" i="7"/>
  <c r="DM118" i="7"/>
  <c r="DL118" i="7"/>
  <c r="DK118" i="7"/>
  <c r="DJ118" i="7"/>
  <c r="DI118" i="7"/>
  <c r="DH118" i="7"/>
  <c r="DG118" i="7"/>
  <c r="DF118" i="7"/>
  <c r="DE118" i="7"/>
  <c r="DD118" i="7"/>
  <c r="DC118" i="7"/>
  <c r="DB118" i="7"/>
  <c r="DA118" i="7"/>
  <c r="CZ118" i="7"/>
  <c r="CY118" i="7"/>
  <c r="CX118" i="7"/>
  <c r="CW118" i="7"/>
  <c r="CV118" i="7"/>
  <c r="CU118" i="7"/>
  <c r="CT118" i="7"/>
  <c r="CS118" i="7"/>
  <c r="CR118" i="7"/>
  <c r="CQ118" i="7"/>
  <c r="CP118" i="7"/>
  <c r="CO118" i="7"/>
  <c r="CN118" i="7"/>
  <c r="CM118" i="7"/>
  <c r="CL118" i="7"/>
  <c r="CK118" i="7"/>
  <c r="CJ118" i="7"/>
  <c r="CI118" i="7"/>
  <c r="CH118" i="7"/>
  <c r="CG118" i="7"/>
  <c r="CF118" i="7"/>
  <c r="CE118" i="7"/>
  <c r="CD118" i="7"/>
  <c r="CC118" i="7"/>
  <c r="CB118" i="7"/>
  <c r="CA118" i="7"/>
  <c r="BZ118" i="7"/>
  <c r="BY118" i="7"/>
  <c r="BX118" i="7"/>
  <c r="BW118" i="7"/>
  <c r="BV118" i="7"/>
  <c r="BU118" i="7"/>
  <c r="BT118" i="7"/>
  <c r="BS118" i="7"/>
  <c r="BR118" i="7"/>
  <c r="BQ118" i="7"/>
  <c r="BP118" i="7"/>
  <c r="BO118" i="7"/>
  <c r="BN118" i="7"/>
  <c r="BM118" i="7"/>
  <c r="BL118" i="7"/>
  <c r="BK118" i="7"/>
  <c r="BJ118" i="7"/>
  <c r="BI118" i="7"/>
  <c r="BH118" i="7"/>
  <c r="BG118" i="7"/>
  <c r="BF118" i="7"/>
  <c r="BE118" i="7"/>
  <c r="BD118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C118" i="7"/>
  <c r="B118" i="7"/>
  <c r="A118" i="7"/>
  <c r="IV117" i="7"/>
  <c r="IU117" i="7"/>
  <c r="IT117" i="7"/>
  <c r="IS117" i="7"/>
  <c r="IR117" i="7"/>
  <c r="IQ117" i="7"/>
  <c r="IP117" i="7"/>
  <c r="IO117" i="7"/>
  <c r="IN117" i="7"/>
  <c r="IM117" i="7"/>
  <c r="IL117" i="7"/>
  <c r="IK117" i="7"/>
  <c r="IJ117" i="7"/>
  <c r="II117" i="7"/>
  <c r="IH117" i="7"/>
  <c r="IG117" i="7"/>
  <c r="IF117" i="7"/>
  <c r="IE117" i="7"/>
  <c r="ID117" i="7"/>
  <c r="IC117" i="7"/>
  <c r="IB117" i="7"/>
  <c r="IA117" i="7"/>
  <c r="HZ117" i="7"/>
  <c r="HY117" i="7"/>
  <c r="HX117" i="7"/>
  <c r="HW117" i="7"/>
  <c r="HV117" i="7"/>
  <c r="HU117" i="7"/>
  <c r="HT117" i="7"/>
  <c r="HS117" i="7"/>
  <c r="HR117" i="7"/>
  <c r="HQ117" i="7"/>
  <c r="HP117" i="7"/>
  <c r="HO117" i="7"/>
  <c r="HN117" i="7"/>
  <c r="HM117" i="7"/>
  <c r="HL117" i="7"/>
  <c r="HK117" i="7"/>
  <c r="HJ117" i="7"/>
  <c r="HI117" i="7"/>
  <c r="HH117" i="7"/>
  <c r="HG117" i="7"/>
  <c r="HF117" i="7"/>
  <c r="HE117" i="7"/>
  <c r="HD117" i="7"/>
  <c r="HC117" i="7"/>
  <c r="HB117" i="7"/>
  <c r="HA117" i="7"/>
  <c r="GZ117" i="7"/>
  <c r="GY117" i="7"/>
  <c r="GX117" i="7"/>
  <c r="GW117" i="7"/>
  <c r="GV117" i="7"/>
  <c r="GU117" i="7"/>
  <c r="GT117" i="7"/>
  <c r="GS117" i="7"/>
  <c r="GR117" i="7"/>
  <c r="GQ117" i="7"/>
  <c r="GP117" i="7"/>
  <c r="GO117" i="7"/>
  <c r="GN117" i="7"/>
  <c r="GM117" i="7"/>
  <c r="GL117" i="7"/>
  <c r="GK117" i="7"/>
  <c r="GJ117" i="7"/>
  <c r="GI117" i="7"/>
  <c r="GH117" i="7"/>
  <c r="GG117" i="7"/>
  <c r="GF117" i="7"/>
  <c r="GE117" i="7"/>
  <c r="GD117" i="7"/>
  <c r="GC117" i="7"/>
  <c r="GB117" i="7"/>
  <c r="GA117" i="7"/>
  <c r="FZ117" i="7"/>
  <c r="FY117" i="7"/>
  <c r="FX117" i="7"/>
  <c r="FW117" i="7"/>
  <c r="FV117" i="7"/>
  <c r="FU117" i="7"/>
  <c r="FT117" i="7"/>
  <c r="FS117" i="7"/>
  <c r="FR117" i="7"/>
  <c r="FQ117" i="7"/>
  <c r="FP117" i="7"/>
  <c r="FO117" i="7"/>
  <c r="FN117" i="7"/>
  <c r="FM117" i="7"/>
  <c r="FL117" i="7"/>
  <c r="FK117" i="7"/>
  <c r="FJ117" i="7"/>
  <c r="FI117" i="7"/>
  <c r="FH117" i="7"/>
  <c r="FG117" i="7"/>
  <c r="FF117" i="7"/>
  <c r="FE117" i="7"/>
  <c r="FD117" i="7"/>
  <c r="FC117" i="7"/>
  <c r="FB117" i="7"/>
  <c r="FA117" i="7"/>
  <c r="EZ117" i="7"/>
  <c r="EY117" i="7"/>
  <c r="EX117" i="7"/>
  <c r="EW117" i="7"/>
  <c r="EV117" i="7"/>
  <c r="EU117" i="7"/>
  <c r="ET117" i="7"/>
  <c r="ES117" i="7"/>
  <c r="ER117" i="7"/>
  <c r="EQ117" i="7"/>
  <c r="EP117" i="7"/>
  <c r="EO117" i="7"/>
  <c r="EN117" i="7"/>
  <c r="EM117" i="7"/>
  <c r="EL117" i="7"/>
  <c r="EK117" i="7"/>
  <c r="EJ117" i="7"/>
  <c r="EI117" i="7"/>
  <c r="EH117" i="7"/>
  <c r="EG117" i="7"/>
  <c r="EF117" i="7"/>
  <c r="EE117" i="7"/>
  <c r="ED117" i="7"/>
  <c r="EC117" i="7"/>
  <c r="EB117" i="7"/>
  <c r="EA117" i="7"/>
  <c r="DZ117" i="7"/>
  <c r="DY117" i="7"/>
  <c r="DX117" i="7"/>
  <c r="DW117" i="7"/>
  <c r="DV117" i="7"/>
  <c r="DU117" i="7"/>
  <c r="DT117" i="7"/>
  <c r="DS117" i="7"/>
  <c r="DR117" i="7"/>
  <c r="DQ117" i="7"/>
  <c r="DP117" i="7"/>
  <c r="DO117" i="7"/>
  <c r="DN117" i="7"/>
  <c r="DM117" i="7"/>
  <c r="DL117" i="7"/>
  <c r="DK117" i="7"/>
  <c r="DJ117" i="7"/>
  <c r="DI117" i="7"/>
  <c r="DH117" i="7"/>
  <c r="DG117" i="7"/>
  <c r="DF117" i="7"/>
  <c r="DE117" i="7"/>
  <c r="DD117" i="7"/>
  <c r="DC117" i="7"/>
  <c r="DB117" i="7"/>
  <c r="DA117" i="7"/>
  <c r="CZ117" i="7"/>
  <c r="CY117" i="7"/>
  <c r="CX117" i="7"/>
  <c r="CW117" i="7"/>
  <c r="CV117" i="7"/>
  <c r="CU117" i="7"/>
  <c r="CT117" i="7"/>
  <c r="CS117" i="7"/>
  <c r="CR117" i="7"/>
  <c r="CQ117" i="7"/>
  <c r="CP117" i="7"/>
  <c r="CO117" i="7"/>
  <c r="CN117" i="7"/>
  <c r="CM117" i="7"/>
  <c r="CL117" i="7"/>
  <c r="CK117" i="7"/>
  <c r="CJ117" i="7"/>
  <c r="CI117" i="7"/>
  <c r="CH117" i="7"/>
  <c r="CG117" i="7"/>
  <c r="CF117" i="7"/>
  <c r="CE117" i="7"/>
  <c r="CD117" i="7"/>
  <c r="CC117" i="7"/>
  <c r="CB117" i="7"/>
  <c r="CA117" i="7"/>
  <c r="BZ117" i="7"/>
  <c r="BY117" i="7"/>
  <c r="BX117" i="7"/>
  <c r="BW117" i="7"/>
  <c r="BV117" i="7"/>
  <c r="BU117" i="7"/>
  <c r="BT117" i="7"/>
  <c r="BS117" i="7"/>
  <c r="BR117" i="7"/>
  <c r="BQ117" i="7"/>
  <c r="BP117" i="7"/>
  <c r="BO117" i="7"/>
  <c r="BN117" i="7"/>
  <c r="BM117" i="7"/>
  <c r="BL117" i="7"/>
  <c r="BK117" i="7"/>
  <c r="BJ117" i="7"/>
  <c r="BI117" i="7"/>
  <c r="BH117" i="7"/>
  <c r="BG117" i="7"/>
  <c r="BF117" i="7"/>
  <c r="BE117" i="7"/>
  <c r="BD117" i="7"/>
  <c r="BC117" i="7"/>
  <c r="BB117" i="7"/>
  <c r="BA117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C117" i="7"/>
  <c r="B117" i="7"/>
  <c r="A117" i="7"/>
  <c r="IV116" i="7"/>
  <c r="IU116" i="7"/>
  <c r="IT116" i="7"/>
  <c r="IS116" i="7"/>
  <c r="IR116" i="7"/>
  <c r="IQ116" i="7"/>
  <c r="IP116" i="7"/>
  <c r="IO116" i="7"/>
  <c r="IN116" i="7"/>
  <c r="IM116" i="7"/>
  <c r="IL116" i="7"/>
  <c r="IK116" i="7"/>
  <c r="IJ116" i="7"/>
  <c r="II116" i="7"/>
  <c r="IH116" i="7"/>
  <c r="IG116" i="7"/>
  <c r="IF116" i="7"/>
  <c r="IE116" i="7"/>
  <c r="ID116" i="7"/>
  <c r="IC116" i="7"/>
  <c r="IB116" i="7"/>
  <c r="IA116" i="7"/>
  <c r="HZ116" i="7"/>
  <c r="HY116" i="7"/>
  <c r="HX116" i="7"/>
  <c r="HW116" i="7"/>
  <c r="HV116" i="7"/>
  <c r="HU116" i="7"/>
  <c r="HT116" i="7"/>
  <c r="HS116" i="7"/>
  <c r="HR116" i="7"/>
  <c r="HQ116" i="7"/>
  <c r="HP116" i="7"/>
  <c r="HO116" i="7"/>
  <c r="HN116" i="7"/>
  <c r="HM116" i="7"/>
  <c r="HL116" i="7"/>
  <c r="HK116" i="7"/>
  <c r="HJ116" i="7"/>
  <c r="HI116" i="7"/>
  <c r="HH116" i="7"/>
  <c r="HG116" i="7"/>
  <c r="HF116" i="7"/>
  <c r="HE116" i="7"/>
  <c r="HD116" i="7"/>
  <c r="HC116" i="7"/>
  <c r="HB116" i="7"/>
  <c r="HA116" i="7"/>
  <c r="GZ116" i="7"/>
  <c r="GY116" i="7"/>
  <c r="GX116" i="7"/>
  <c r="GW116" i="7"/>
  <c r="GV116" i="7"/>
  <c r="GU116" i="7"/>
  <c r="GT116" i="7"/>
  <c r="GS116" i="7"/>
  <c r="GR116" i="7"/>
  <c r="GQ116" i="7"/>
  <c r="GP116" i="7"/>
  <c r="GO116" i="7"/>
  <c r="GN116" i="7"/>
  <c r="GM116" i="7"/>
  <c r="GL116" i="7"/>
  <c r="GK116" i="7"/>
  <c r="GJ116" i="7"/>
  <c r="GI116" i="7"/>
  <c r="GH116" i="7"/>
  <c r="GG116" i="7"/>
  <c r="GF116" i="7"/>
  <c r="GE116" i="7"/>
  <c r="GD116" i="7"/>
  <c r="GC116" i="7"/>
  <c r="GB116" i="7"/>
  <c r="GA116" i="7"/>
  <c r="FZ116" i="7"/>
  <c r="FY116" i="7"/>
  <c r="FX116" i="7"/>
  <c r="FW116" i="7"/>
  <c r="FV116" i="7"/>
  <c r="FU116" i="7"/>
  <c r="FT116" i="7"/>
  <c r="FS116" i="7"/>
  <c r="FR116" i="7"/>
  <c r="FQ116" i="7"/>
  <c r="FP116" i="7"/>
  <c r="FO116" i="7"/>
  <c r="FN116" i="7"/>
  <c r="FM116" i="7"/>
  <c r="FL116" i="7"/>
  <c r="FK116" i="7"/>
  <c r="FJ116" i="7"/>
  <c r="FI116" i="7"/>
  <c r="FH116" i="7"/>
  <c r="FG116" i="7"/>
  <c r="FF116" i="7"/>
  <c r="FE116" i="7"/>
  <c r="FD116" i="7"/>
  <c r="FC116" i="7"/>
  <c r="FB116" i="7"/>
  <c r="FA116" i="7"/>
  <c r="EZ116" i="7"/>
  <c r="EY116" i="7"/>
  <c r="EX116" i="7"/>
  <c r="EW116" i="7"/>
  <c r="EV116" i="7"/>
  <c r="EU116" i="7"/>
  <c r="ET116" i="7"/>
  <c r="ES116" i="7"/>
  <c r="ER116" i="7"/>
  <c r="EQ116" i="7"/>
  <c r="EP116" i="7"/>
  <c r="EO116" i="7"/>
  <c r="EN116" i="7"/>
  <c r="EM116" i="7"/>
  <c r="EL116" i="7"/>
  <c r="EK116" i="7"/>
  <c r="EJ116" i="7"/>
  <c r="EI116" i="7"/>
  <c r="EH116" i="7"/>
  <c r="EG116" i="7"/>
  <c r="EF116" i="7"/>
  <c r="EE116" i="7"/>
  <c r="ED116" i="7"/>
  <c r="EC116" i="7"/>
  <c r="EB116" i="7"/>
  <c r="EA116" i="7"/>
  <c r="DZ116" i="7"/>
  <c r="DY116" i="7"/>
  <c r="DX116" i="7"/>
  <c r="DW116" i="7"/>
  <c r="DV116" i="7"/>
  <c r="DU116" i="7"/>
  <c r="DT116" i="7"/>
  <c r="DS116" i="7"/>
  <c r="DR116" i="7"/>
  <c r="DQ116" i="7"/>
  <c r="DP116" i="7"/>
  <c r="DO116" i="7"/>
  <c r="DN116" i="7"/>
  <c r="DM116" i="7"/>
  <c r="DL116" i="7"/>
  <c r="DK116" i="7"/>
  <c r="DJ116" i="7"/>
  <c r="DI116" i="7"/>
  <c r="DH116" i="7"/>
  <c r="DG116" i="7"/>
  <c r="DF116" i="7"/>
  <c r="DE116" i="7"/>
  <c r="DD116" i="7"/>
  <c r="DC116" i="7"/>
  <c r="DB116" i="7"/>
  <c r="DA116" i="7"/>
  <c r="CZ116" i="7"/>
  <c r="CY116" i="7"/>
  <c r="CX116" i="7"/>
  <c r="CW116" i="7"/>
  <c r="CV116" i="7"/>
  <c r="CU116" i="7"/>
  <c r="CT116" i="7"/>
  <c r="CS116" i="7"/>
  <c r="CR116" i="7"/>
  <c r="CQ116" i="7"/>
  <c r="CP116" i="7"/>
  <c r="CO116" i="7"/>
  <c r="CN116" i="7"/>
  <c r="CM116" i="7"/>
  <c r="CL116" i="7"/>
  <c r="CK116" i="7"/>
  <c r="CJ116" i="7"/>
  <c r="CI116" i="7"/>
  <c r="CH116" i="7"/>
  <c r="CG116" i="7"/>
  <c r="CF116" i="7"/>
  <c r="CE116" i="7"/>
  <c r="CD116" i="7"/>
  <c r="CC116" i="7"/>
  <c r="CB116" i="7"/>
  <c r="CA116" i="7"/>
  <c r="BZ116" i="7"/>
  <c r="BY116" i="7"/>
  <c r="BX116" i="7"/>
  <c r="BW116" i="7"/>
  <c r="BV116" i="7"/>
  <c r="BU116" i="7"/>
  <c r="BT116" i="7"/>
  <c r="BS116" i="7"/>
  <c r="BR116" i="7"/>
  <c r="BQ116" i="7"/>
  <c r="BP116" i="7"/>
  <c r="BO116" i="7"/>
  <c r="BN116" i="7"/>
  <c r="BM116" i="7"/>
  <c r="BL116" i="7"/>
  <c r="BK116" i="7"/>
  <c r="BJ116" i="7"/>
  <c r="BI116" i="7"/>
  <c r="BH116" i="7"/>
  <c r="BG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R116" i="7"/>
  <c r="Q116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C116" i="7"/>
  <c r="B116" i="7"/>
  <c r="A116" i="7"/>
  <c r="IV115" i="7"/>
  <c r="IU115" i="7"/>
  <c r="IT115" i="7"/>
  <c r="IS115" i="7"/>
  <c r="IR115" i="7"/>
  <c r="IQ115" i="7"/>
  <c r="IP115" i="7"/>
  <c r="IO115" i="7"/>
  <c r="IN115" i="7"/>
  <c r="IM115" i="7"/>
  <c r="IL115" i="7"/>
  <c r="IK115" i="7"/>
  <c r="IJ115" i="7"/>
  <c r="II115" i="7"/>
  <c r="IH115" i="7"/>
  <c r="IG115" i="7"/>
  <c r="IF115" i="7"/>
  <c r="IE115" i="7"/>
  <c r="ID115" i="7"/>
  <c r="IC115" i="7"/>
  <c r="IB115" i="7"/>
  <c r="IA115" i="7"/>
  <c r="HZ115" i="7"/>
  <c r="HY115" i="7"/>
  <c r="HX115" i="7"/>
  <c r="HW115" i="7"/>
  <c r="HV115" i="7"/>
  <c r="HU115" i="7"/>
  <c r="HT115" i="7"/>
  <c r="HS115" i="7"/>
  <c r="HR115" i="7"/>
  <c r="HQ115" i="7"/>
  <c r="HP115" i="7"/>
  <c r="HO115" i="7"/>
  <c r="HN115" i="7"/>
  <c r="HM115" i="7"/>
  <c r="HL115" i="7"/>
  <c r="HK115" i="7"/>
  <c r="HJ115" i="7"/>
  <c r="HI115" i="7"/>
  <c r="HH115" i="7"/>
  <c r="HG115" i="7"/>
  <c r="HF115" i="7"/>
  <c r="HE115" i="7"/>
  <c r="HD115" i="7"/>
  <c r="HC115" i="7"/>
  <c r="HB115" i="7"/>
  <c r="HA115" i="7"/>
  <c r="GZ115" i="7"/>
  <c r="GY115" i="7"/>
  <c r="GX115" i="7"/>
  <c r="GW115" i="7"/>
  <c r="GV115" i="7"/>
  <c r="GU115" i="7"/>
  <c r="GT115" i="7"/>
  <c r="GS115" i="7"/>
  <c r="GR115" i="7"/>
  <c r="GQ115" i="7"/>
  <c r="GP115" i="7"/>
  <c r="GO115" i="7"/>
  <c r="GN115" i="7"/>
  <c r="GM115" i="7"/>
  <c r="GL115" i="7"/>
  <c r="GK115" i="7"/>
  <c r="GJ115" i="7"/>
  <c r="GI115" i="7"/>
  <c r="GH115" i="7"/>
  <c r="GG115" i="7"/>
  <c r="GF115" i="7"/>
  <c r="GE115" i="7"/>
  <c r="GD115" i="7"/>
  <c r="GC115" i="7"/>
  <c r="GB115" i="7"/>
  <c r="GA115" i="7"/>
  <c r="FZ115" i="7"/>
  <c r="FY115" i="7"/>
  <c r="FX115" i="7"/>
  <c r="FW115" i="7"/>
  <c r="FV115" i="7"/>
  <c r="FU115" i="7"/>
  <c r="FT115" i="7"/>
  <c r="FS115" i="7"/>
  <c r="FR115" i="7"/>
  <c r="FQ115" i="7"/>
  <c r="FP115" i="7"/>
  <c r="FO115" i="7"/>
  <c r="FN115" i="7"/>
  <c r="FM115" i="7"/>
  <c r="FL115" i="7"/>
  <c r="FK115" i="7"/>
  <c r="FJ115" i="7"/>
  <c r="FI115" i="7"/>
  <c r="FH115" i="7"/>
  <c r="FG115" i="7"/>
  <c r="FF115" i="7"/>
  <c r="FE115" i="7"/>
  <c r="FD115" i="7"/>
  <c r="FC115" i="7"/>
  <c r="FB115" i="7"/>
  <c r="FA115" i="7"/>
  <c r="EZ115" i="7"/>
  <c r="EY115" i="7"/>
  <c r="EX115" i="7"/>
  <c r="EW115" i="7"/>
  <c r="EV115" i="7"/>
  <c r="EU115" i="7"/>
  <c r="ET115" i="7"/>
  <c r="ES115" i="7"/>
  <c r="ER115" i="7"/>
  <c r="EQ115" i="7"/>
  <c r="EP115" i="7"/>
  <c r="EO115" i="7"/>
  <c r="EN115" i="7"/>
  <c r="EM115" i="7"/>
  <c r="EL115" i="7"/>
  <c r="EK115" i="7"/>
  <c r="EJ115" i="7"/>
  <c r="EI115" i="7"/>
  <c r="EH115" i="7"/>
  <c r="EG115" i="7"/>
  <c r="EF115" i="7"/>
  <c r="EE115" i="7"/>
  <c r="ED115" i="7"/>
  <c r="EC115" i="7"/>
  <c r="EB115" i="7"/>
  <c r="EA115" i="7"/>
  <c r="DZ115" i="7"/>
  <c r="DY115" i="7"/>
  <c r="DX115" i="7"/>
  <c r="DW115" i="7"/>
  <c r="DV115" i="7"/>
  <c r="DU115" i="7"/>
  <c r="DT115" i="7"/>
  <c r="DS115" i="7"/>
  <c r="DR115" i="7"/>
  <c r="DQ115" i="7"/>
  <c r="DP115" i="7"/>
  <c r="DO115" i="7"/>
  <c r="DN115" i="7"/>
  <c r="DM115" i="7"/>
  <c r="DL115" i="7"/>
  <c r="DK115" i="7"/>
  <c r="DJ115" i="7"/>
  <c r="DI115" i="7"/>
  <c r="DH115" i="7"/>
  <c r="DG115" i="7"/>
  <c r="DF115" i="7"/>
  <c r="DE115" i="7"/>
  <c r="DD115" i="7"/>
  <c r="DC115" i="7"/>
  <c r="DB115" i="7"/>
  <c r="DA115" i="7"/>
  <c r="CZ115" i="7"/>
  <c r="CY115" i="7"/>
  <c r="CX115" i="7"/>
  <c r="CW115" i="7"/>
  <c r="CV115" i="7"/>
  <c r="CU115" i="7"/>
  <c r="CT115" i="7"/>
  <c r="CS115" i="7"/>
  <c r="CR115" i="7"/>
  <c r="CQ115" i="7"/>
  <c r="CP115" i="7"/>
  <c r="CO115" i="7"/>
  <c r="CN115" i="7"/>
  <c r="CM115" i="7"/>
  <c r="CL115" i="7"/>
  <c r="CK115" i="7"/>
  <c r="CJ115" i="7"/>
  <c r="CI115" i="7"/>
  <c r="CH115" i="7"/>
  <c r="CG115" i="7"/>
  <c r="CF115" i="7"/>
  <c r="CE115" i="7"/>
  <c r="CD115" i="7"/>
  <c r="CC115" i="7"/>
  <c r="CB115" i="7"/>
  <c r="CA115" i="7"/>
  <c r="BZ115" i="7"/>
  <c r="BY115" i="7"/>
  <c r="BX115" i="7"/>
  <c r="BW115" i="7"/>
  <c r="BV115" i="7"/>
  <c r="BU115" i="7"/>
  <c r="BT115" i="7"/>
  <c r="BS115" i="7"/>
  <c r="BR115" i="7"/>
  <c r="BQ115" i="7"/>
  <c r="BP115" i="7"/>
  <c r="BO115" i="7"/>
  <c r="BN115" i="7"/>
  <c r="BM115" i="7"/>
  <c r="BL115" i="7"/>
  <c r="BK115" i="7"/>
  <c r="BJ115" i="7"/>
  <c r="BI115" i="7"/>
  <c r="BH115" i="7"/>
  <c r="BG115" i="7"/>
  <c r="BF115" i="7"/>
  <c r="BE115" i="7"/>
  <c r="BD115" i="7"/>
  <c r="BC115" i="7"/>
  <c r="BB115" i="7"/>
  <c r="BA115" i="7"/>
  <c r="AZ115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C115" i="7"/>
  <c r="B115" i="7"/>
  <c r="A115" i="7"/>
  <c r="IV114" i="7"/>
  <c r="IU114" i="7"/>
  <c r="IT114" i="7"/>
  <c r="IS114" i="7"/>
  <c r="IR114" i="7"/>
  <c r="IQ114" i="7"/>
  <c r="IP114" i="7"/>
  <c r="IO114" i="7"/>
  <c r="IN114" i="7"/>
  <c r="IM114" i="7"/>
  <c r="IL114" i="7"/>
  <c r="IK114" i="7"/>
  <c r="IJ114" i="7"/>
  <c r="II114" i="7"/>
  <c r="IH114" i="7"/>
  <c r="IG114" i="7"/>
  <c r="IF114" i="7"/>
  <c r="IE114" i="7"/>
  <c r="ID114" i="7"/>
  <c r="IC114" i="7"/>
  <c r="IB114" i="7"/>
  <c r="IA114" i="7"/>
  <c r="HZ114" i="7"/>
  <c r="HY114" i="7"/>
  <c r="HX114" i="7"/>
  <c r="HW114" i="7"/>
  <c r="HV114" i="7"/>
  <c r="HU114" i="7"/>
  <c r="HT114" i="7"/>
  <c r="HS114" i="7"/>
  <c r="HR114" i="7"/>
  <c r="HQ114" i="7"/>
  <c r="HP114" i="7"/>
  <c r="HO114" i="7"/>
  <c r="HN114" i="7"/>
  <c r="HM114" i="7"/>
  <c r="HL114" i="7"/>
  <c r="HK114" i="7"/>
  <c r="HJ114" i="7"/>
  <c r="HI114" i="7"/>
  <c r="HH114" i="7"/>
  <c r="HG114" i="7"/>
  <c r="HF114" i="7"/>
  <c r="HE114" i="7"/>
  <c r="HD114" i="7"/>
  <c r="HC114" i="7"/>
  <c r="HB114" i="7"/>
  <c r="HA114" i="7"/>
  <c r="GZ114" i="7"/>
  <c r="GY114" i="7"/>
  <c r="GX114" i="7"/>
  <c r="GW114" i="7"/>
  <c r="GV114" i="7"/>
  <c r="GU114" i="7"/>
  <c r="GT114" i="7"/>
  <c r="GS114" i="7"/>
  <c r="GR114" i="7"/>
  <c r="GQ114" i="7"/>
  <c r="GP114" i="7"/>
  <c r="GO114" i="7"/>
  <c r="GN114" i="7"/>
  <c r="GM114" i="7"/>
  <c r="GL114" i="7"/>
  <c r="GK114" i="7"/>
  <c r="GJ114" i="7"/>
  <c r="GI114" i="7"/>
  <c r="GH114" i="7"/>
  <c r="GG114" i="7"/>
  <c r="GF114" i="7"/>
  <c r="GE114" i="7"/>
  <c r="GD114" i="7"/>
  <c r="GC114" i="7"/>
  <c r="GB114" i="7"/>
  <c r="GA114" i="7"/>
  <c r="FZ114" i="7"/>
  <c r="FY114" i="7"/>
  <c r="FX114" i="7"/>
  <c r="FW114" i="7"/>
  <c r="FV114" i="7"/>
  <c r="FU114" i="7"/>
  <c r="FT114" i="7"/>
  <c r="FS114" i="7"/>
  <c r="FR114" i="7"/>
  <c r="FQ114" i="7"/>
  <c r="FP114" i="7"/>
  <c r="FO114" i="7"/>
  <c r="FN114" i="7"/>
  <c r="FM114" i="7"/>
  <c r="FL114" i="7"/>
  <c r="FK114" i="7"/>
  <c r="FJ114" i="7"/>
  <c r="FI114" i="7"/>
  <c r="FH114" i="7"/>
  <c r="FG114" i="7"/>
  <c r="FF114" i="7"/>
  <c r="FE114" i="7"/>
  <c r="FD114" i="7"/>
  <c r="FC114" i="7"/>
  <c r="FB114" i="7"/>
  <c r="FA114" i="7"/>
  <c r="EZ114" i="7"/>
  <c r="EY114" i="7"/>
  <c r="EX114" i="7"/>
  <c r="EW114" i="7"/>
  <c r="EV114" i="7"/>
  <c r="EU114" i="7"/>
  <c r="ET114" i="7"/>
  <c r="ES114" i="7"/>
  <c r="ER114" i="7"/>
  <c r="EQ114" i="7"/>
  <c r="EP114" i="7"/>
  <c r="EO114" i="7"/>
  <c r="EN114" i="7"/>
  <c r="EM114" i="7"/>
  <c r="EL114" i="7"/>
  <c r="EK114" i="7"/>
  <c r="EJ114" i="7"/>
  <c r="EI114" i="7"/>
  <c r="EH114" i="7"/>
  <c r="EG114" i="7"/>
  <c r="EF114" i="7"/>
  <c r="EE114" i="7"/>
  <c r="ED114" i="7"/>
  <c r="EC114" i="7"/>
  <c r="EB114" i="7"/>
  <c r="EA114" i="7"/>
  <c r="DZ114" i="7"/>
  <c r="DY114" i="7"/>
  <c r="DX114" i="7"/>
  <c r="DW114" i="7"/>
  <c r="DV114" i="7"/>
  <c r="DU114" i="7"/>
  <c r="DT114" i="7"/>
  <c r="DS114" i="7"/>
  <c r="DR114" i="7"/>
  <c r="DQ114" i="7"/>
  <c r="DP114" i="7"/>
  <c r="DO114" i="7"/>
  <c r="DN114" i="7"/>
  <c r="DM114" i="7"/>
  <c r="DL114" i="7"/>
  <c r="DK114" i="7"/>
  <c r="DJ114" i="7"/>
  <c r="DI114" i="7"/>
  <c r="DH114" i="7"/>
  <c r="DG114" i="7"/>
  <c r="DF114" i="7"/>
  <c r="DE114" i="7"/>
  <c r="DD114" i="7"/>
  <c r="DC114" i="7"/>
  <c r="DB114" i="7"/>
  <c r="DA114" i="7"/>
  <c r="CZ114" i="7"/>
  <c r="CY114" i="7"/>
  <c r="CX114" i="7"/>
  <c r="CW114" i="7"/>
  <c r="CV114" i="7"/>
  <c r="CU114" i="7"/>
  <c r="CT114" i="7"/>
  <c r="CS114" i="7"/>
  <c r="CR114" i="7"/>
  <c r="CQ114" i="7"/>
  <c r="CP114" i="7"/>
  <c r="CO114" i="7"/>
  <c r="CN114" i="7"/>
  <c r="CM114" i="7"/>
  <c r="CL114" i="7"/>
  <c r="CK114" i="7"/>
  <c r="CJ114" i="7"/>
  <c r="CI114" i="7"/>
  <c r="CH114" i="7"/>
  <c r="CG114" i="7"/>
  <c r="CF114" i="7"/>
  <c r="CE114" i="7"/>
  <c r="CD114" i="7"/>
  <c r="CC114" i="7"/>
  <c r="CB114" i="7"/>
  <c r="CA114" i="7"/>
  <c r="BZ114" i="7"/>
  <c r="BY114" i="7"/>
  <c r="BX114" i="7"/>
  <c r="BW114" i="7"/>
  <c r="BV114" i="7"/>
  <c r="BU114" i="7"/>
  <c r="BT114" i="7"/>
  <c r="BS114" i="7"/>
  <c r="BR114" i="7"/>
  <c r="BQ114" i="7"/>
  <c r="BP114" i="7"/>
  <c r="BO114" i="7"/>
  <c r="BN114" i="7"/>
  <c r="BM114" i="7"/>
  <c r="BL114" i="7"/>
  <c r="BK114" i="7"/>
  <c r="BJ114" i="7"/>
  <c r="BI114" i="7"/>
  <c r="BH114" i="7"/>
  <c r="BG114" i="7"/>
  <c r="BF114" i="7"/>
  <c r="BE114" i="7"/>
  <c r="BD114" i="7"/>
  <c r="BC114" i="7"/>
  <c r="BB114" i="7"/>
  <c r="BA114" i="7"/>
  <c r="AZ114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114" i="7"/>
  <c r="IV113" i="7"/>
  <c r="IU113" i="7"/>
  <c r="IT113" i="7"/>
  <c r="IS113" i="7"/>
  <c r="IR113" i="7"/>
  <c r="IQ113" i="7"/>
  <c r="IP113" i="7"/>
  <c r="IO113" i="7"/>
  <c r="IN113" i="7"/>
  <c r="IM113" i="7"/>
  <c r="IL113" i="7"/>
  <c r="IK113" i="7"/>
  <c r="IJ113" i="7"/>
  <c r="II113" i="7"/>
  <c r="IH113" i="7"/>
  <c r="IG113" i="7"/>
  <c r="IF113" i="7"/>
  <c r="IE113" i="7"/>
  <c r="ID113" i="7"/>
  <c r="IC113" i="7"/>
  <c r="IB113" i="7"/>
  <c r="IA113" i="7"/>
  <c r="HZ113" i="7"/>
  <c r="HY113" i="7"/>
  <c r="HX113" i="7"/>
  <c r="HW113" i="7"/>
  <c r="HV113" i="7"/>
  <c r="HU113" i="7"/>
  <c r="HT113" i="7"/>
  <c r="HS113" i="7"/>
  <c r="HR113" i="7"/>
  <c r="HQ113" i="7"/>
  <c r="HP113" i="7"/>
  <c r="HO113" i="7"/>
  <c r="HN113" i="7"/>
  <c r="HM113" i="7"/>
  <c r="HL113" i="7"/>
  <c r="HK113" i="7"/>
  <c r="HJ113" i="7"/>
  <c r="HI113" i="7"/>
  <c r="HH113" i="7"/>
  <c r="HG113" i="7"/>
  <c r="HF113" i="7"/>
  <c r="HE113" i="7"/>
  <c r="HD113" i="7"/>
  <c r="HC113" i="7"/>
  <c r="HB113" i="7"/>
  <c r="HA113" i="7"/>
  <c r="GZ113" i="7"/>
  <c r="GY113" i="7"/>
  <c r="GX113" i="7"/>
  <c r="GW113" i="7"/>
  <c r="GV113" i="7"/>
  <c r="GU113" i="7"/>
  <c r="GT113" i="7"/>
  <c r="GS113" i="7"/>
  <c r="GR113" i="7"/>
  <c r="GQ113" i="7"/>
  <c r="GP113" i="7"/>
  <c r="GO113" i="7"/>
  <c r="GN113" i="7"/>
  <c r="GM113" i="7"/>
  <c r="GL113" i="7"/>
  <c r="GK113" i="7"/>
  <c r="GJ113" i="7"/>
  <c r="GI113" i="7"/>
  <c r="GH113" i="7"/>
  <c r="GG113" i="7"/>
  <c r="GF113" i="7"/>
  <c r="GE113" i="7"/>
  <c r="GD113" i="7"/>
  <c r="GC113" i="7"/>
  <c r="GB113" i="7"/>
  <c r="GA113" i="7"/>
  <c r="FZ113" i="7"/>
  <c r="FY113" i="7"/>
  <c r="FX113" i="7"/>
  <c r="FW113" i="7"/>
  <c r="FV113" i="7"/>
  <c r="FU113" i="7"/>
  <c r="FT113" i="7"/>
  <c r="FS113" i="7"/>
  <c r="FR113" i="7"/>
  <c r="FQ113" i="7"/>
  <c r="FP113" i="7"/>
  <c r="FO113" i="7"/>
  <c r="FN113" i="7"/>
  <c r="FM113" i="7"/>
  <c r="FL113" i="7"/>
  <c r="FK113" i="7"/>
  <c r="FJ113" i="7"/>
  <c r="FI113" i="7"/>
  <c r="FH113" i="7"/>
  <c r="FG113" i="7"/>
  <c r="FF113" i="7"/>
  <c r="FE113" i="7"/>
  <c r="FD113" i="7"/>
  <c r="FC113" i="7"/>
  <c r="FB113" i="7"/>
  <c r="FA113" i="7"/>
  <c r="EZ113" i="7"/>
  <c r="EY113" i="7"/>
  <c r="EX113" i="7"/>
  <c r="EW113" i="7"/>
  <c r="EV113" i="7"/>
  <c r="EU113" i="7"/>
  <c r="ET113" i="7"/>
  <c r="ES113" i="7"/>
  <c r="ER113" i="7"/>
  <c r="EQ113" i="7"/>
  <c r="EP113" i="7"/>
  <c r="EO113" i="7"/>
  <c r="EN113" i="7"/>
  <c r="EM113" i="7"/>
  <c r="EL113" i="7"/>
  <c r="EK113" i="7"/>
  <c r="EJ113" i="7"/>
  <c r="EI113" i="7"/>
  <c r="EH113" i="7"/>
  <c r="EG113" i="7"/>
  <c r="EF113" i="7"/>
  <c r="EE113" i="7"/>
  <c r="ED113" i="7"/>
  <c r="EC113" i="7"/>
  <c r="EB113" i="7"/>
  <c r="EA113" i="7"/>
  <c r="DZ113" i="7"/>
  <c r="DY113" i="7"/>
  <c r="DX113" i="7"/>
  <c r="DW113" i="7"/>
  <c r="DV113" i="7"/>
  <c r="DU113" i="7"/>
  <c r="DT113" i="7"/>
  <c r="DS113" i="7"/>
  <c r="DR113" i="7"/>
  <c r="DQ113" i="7"/>
  <c r="DP113" i="7"/>
  <c r="DO113" i="7"/>
  <c r="DN113" i="7"/>
  <c r="DM113" i="7"/>
  <c r="DL113" i="7"/>
  <c r="DK113" i="7"/>
  <c r="DJ113" i="7"/>
  <c r="DI113" i="7"/>
  <c r="DH113" i="7"/>
  <c r="DG113" i="7"/>
  <c r="DF113" i="7"/>
  <c r="DE113" i="7"/>
  <c r="DD113" i="7"/>
  <c r="DC113" i="7"/>
  <c r="DB113" i="7"/>
  <c r="DA113" i="7"/>
  <c r="CZ113" i="7"/>
  <c r="CY113" i="7"/>
  <c r="CX113" i="7"/>
  <c r="CW113" i="7"/>
  <c r="CV113" i="7"/>
  <c r="CU113" i="7"/>
  <c r="CT113" i="7"/>
  <c r="CS113" i="7"/>
  <c r="CR113" i="7"/>
  <c r="CQ113" i="7"/>
  <c r="CP113" i="7"/>
  <c r="CO113" i="7"/>
  <c r="CN113" i="7"/>
  <c r="CM113" i="7"/>
  <c r="CL113" i="7"/>
  <c r="CK113" i="7"/>
  <c r="CJ113" i="7"/>
  <c r="CI113" i="7"/>
  <c r="CH113" i="7"/>
  <c r="CG113" i="7"/>
  <c r="CF113" i="7"/>
  <c r="CE113" i="7"/>
  <c r="CD113" i="7"/>
  <c r="CC113" i="7"/>
  <c r="CB113" i="7"/>
  <c r="CA113" i="7"/>
  <c r="BZ113" i="7"/>
  <c r="BY113" i="7"/>
  <c r="BX113" i="7"/>
  <c r="BW113" i="7"/>
  <c r="BV113" i="7"/>
  <c r="BU113" i="7"/>
  <c r="BT113" i="7"/>
  <c r="BS113" i="7"/>
  <c r="BR113" i="7"/>
  <c r="BQ113" i="7"/>
  <c r="BP113" i="7"/>
  <c r="BO113" i="7"/>
  <c r="BN113" i="7"/>
  <c r="BM113" i="7"/>
  <c r="BL113" i="7"/>
  <c r="BK113" i="7"/>
  <c r="BJ113" i="7"/>
  <c r="BI113" i="7"/>
  <c r="BH113" i="7"/>
  <c r="BG113" i="7"/>
  <c r="BF113" i="7"/>
  <c r="BE113" i="7"/>
  <c r="BD113" i="7"/>
  <c r="BC113" i="7"/>
  <c r="BB113" i="7"/>
  <c r="BA113" i="7"/>
  <c r="AZ113" i="7"/>
  <c r="AY113" i="7"/>
  <c r="AX113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C113" i="7"/>
  <c r="B113" i="7"/>
  <c r="A113" i="7"/>
  <c r="IV112" i="7"/>
  <c r="IU112" i="7"/>
  <c r="IT112" i="7"/>
  <c r="IS112" i="7"/>
  <c r="IR112" i="7"/>
  <c r="IQ112" i="7"/>
  <c r="IP112" i="7"/>
  <c r="IO112" i="7"/>
  <c r="IN112" i="7"/>
  <c r="IM112" i="7"/>
  <c r="IL112" i="7"/>
  <c r="IK112" i="7"/>
  <c r="IJ112" i="7"/>
  <c r="II112" i="7"/>
  <c r="IH112" i="7"/>
  <c r="IG112" i="7"/>
  <c r="IF112" i="7"/>
  <c r="IE112" i="7"/>
  <c r="ID112" i="7"/>
  <c r="IC112" i="7"/>
  <c r="IB112" i="7"/>
  <c r="IA112" i="7"/>
  <c r="HZ112" i="7"/>
  <c r="HY112" i="7"/>
  <c r="HX112" i="7"/>
  <c r="HW112" i="7"/>
  <c r="HV112" i="7"/>
  <c r="HU112" i="7"/>
  <c r="HT112" i="7"/>
  <c r="HS112" i="7"/>
  <c r="HR112" i="7"/>
  <c r="HQ112" i="7"/>
  <c r="HP112" i="7"/>
  <c r="HO112" i="7"/>
  <c r="HN112" i="7"/>
  <c r="HM112" i="7"/>
  <c r="HL112" i="7"/>
  <c r="HK112" i="7"/>
  <c r="HJ112" i="7"/>
  <c r="HI112" i="7"/>
  <c r="HH112" i="7"/>
  <c r="HG112" i="7"/>
  <c r="HF112" i="7"/>
  <c r="HE112" i="7"/>
  <c r="HD112" i="7"/>
  <c r="HC112" i="7"/>
  <c r="HB112" i="7"/>
  <c r="HA112" i="7"/>
  <c r="GZ112" i="7"/>
  <c r="GY112" i="7"/>
  <c r="GX112" i="7"/>
  <c r="GW112" i="7"/>
  <c r="GV112" i="7"/>
  <c r="GU112" i="7"/>
  <c r="GT112" i="7"/>
  <c r="GS112" i="7"/>
  <c r="GR112" i="7"/>
  <c r="GQ112" i="7"/>
  <c r="GP112" i="7"/>
  <c r="GO112" i="7"/>
  <c r="GN112" i="7"/>
  <c r="GM112" i="7"/>
  <c r="GL112" i="7"/>
  <c r="GK112" i="7"/>
  <c r="GJ112" i="7"/>
  <c r="GI112" i="7"/>
  <c r="GH112" i="7"/>
  <c r="GG112" i="7"/>
  <c r="GF112" i="7"/>
  <c r="GE112" i="7"/>
  <c r="GD112" i="7"/>
  <c r="GC112" i="7"/>
  <c r="GB112" i="7"/>
  <c r="GA112" i="7"/>
  <c r="FZ112" i="7"/>
  <c r="FY112" i="7"/>
  <c r="FX112" i="7"/>
  <c r="FW112" i="7"/>
  <c r="FV112" i="7"/>
  <c r="FU112" i="7"/>
  <c r="FT112" i="7"/>
  <c r="FS112" i="7"/>
  <c r="FR112" i="7"/>
  <c r="FQ112" i="7"/>
  <c r="FP112" i="7"/>
  <c r="FO112" i="7"/>
  <c r="FN112" i="7"/>
  <c r="FM112" i="7"/>
  <c r="FL112" i="7"/>
  <c r="FK112" i="7"/>
  <c r="FJ112" i="7"/>
  <c r="FI112" i="7"/>
  <c r="FH112" i="7"/>
  <c r="FG112" i="7"/>
  <c r="FF112" i="7"/>
  <c r="FE112" i="7"/>
  <c r="FD112" i="7"/>
  <c r="FC112" i="7"/>
  <c r="FB112" i="7"/>
  <c r="FA112" i="7"/>
  <c r="EZ112" i="7"/>
  <c r="EY112" i="7"/>
  <c r="EX112" i="7"/>
  <c r="EW112" i="7"/>
  <c r="EV112" i="7"/>
  <c r="EU112" i="7"/>
  <c r="ET112" i="7"/>
  <c r="ES112" i="7"/>
  <c r="ER112" i="7"/>
  <c r="EQ112" i="7"/>
  <c r="EP112" i="7"/>
  <c r="EO112" i="7"/>
  <c r="EN112" i="7"/>
  <c r="EM112" i="7"/>
  <c r="EL112" i="7"/>
  <c r="EK112" i="7"/>
  <c r="EJ112" i="7"/>
  <c r="EI112" i="7"/>
  <c r="EH112" i="7"/>
  <c r="EG112" i="7"/>
  <c r="EF112" i="7"/>
  <c r="EE112" i="7"/>
  <c r="ED112" i="7"/>
  <c r="EC112" i="7"/>
  <c r="EB112" i="7"/>
  <c r="EA112" i="7"/>
  <c r="DZ112" i="7"/>
  <c r="DY112" i="7"/>
  <c r="DX112" i="7"/>
  <c r="DW112" i="7"/>
  <c r="DV112" i="7"/>
  <c r="DU112" i="7"/>
  <c r="DT112" i="7"/>
  <c r="DS112" i="7"/>
  <c r="DR112" i="7"/>
  <c r="DQ112" i="7"/>
  <c r="DP112" i="7"/>
  <c r="DO112" i="7"/>
  <c r="DN112" i="7"/>
  <c r="DM112" i="7"/>
  <c r="DL112" i="7"/>
  <c r="DK112" i="7"/>
  <c r="DJ112" i="7"/>
  <c r="DI112" i="7"/>
  <c r="DH112" i="7"/>
  <c r="DG112" i="7"/>
  <c r="DF112" i="7"/>
  <c r="DE112" i="7"/>
  <c r="DD112" i="7"/>
  <c r="DC112" i="7"/>
  <c r="DB112" i="7"/>
  <c r="DA112" i="7"/>
  <c r="CZ112" i="7"/>
  <c r="CY112" i="7"/>
  <c r="CX112" i="7"/>
  <c r="CW112" i="7"/>
  <c r="CV112" i="7"/>
  <c r="CU112" i="7"/>
  <c r="CT112" i="7"/>
  <c r="CS112" i="7"/>
  <c r="CR112" i="7"/>
  <c r="CQ112" i="7"/>
  <c r="CP112" i="7"/>
  <c r="CO112" i="7"/>
  <c r="CN112" i="7"/>
  <c r="CM112" i="7"/>
  <c r="CL112" i="7"/>
  <c r="CK112" i="7"/>
  <c r="CJ112" i="7"/>
  <c r="CI112" i="7"/>
  <c r="CH112" i="7"/>
  <c r="CG112" i="7"/>
  <c r="CF112" i="7"/>
  <c r="CE112" i="7"/>
  <c r="CD112" i="7"/>
  <c r="CC112" i="7"/>
  <c r="CB112" i="7"/>
  <c r="CA112" i="7"/>
  <c r="BZ112" i="7"/>
  <c r="BY112" i="7"/>
  <c r="BX112" i="7"/>
  <c r="BW112" i="7"/>
  <c r="BV112" i="7"/>
  <c r="BU112" i="7"/>
  <c r="BT112" i="7"/>
  <c r="BS112" i="7"/>
  <c r="BR112" i="7"/>
  <c r="BQ112" i="7"/>
  <c r="BP112" i="7"/>
  <c r="BO112" i="7"/>
  <c r="BN112" i="7"/>
  <c r="BM112" i="7"/>
  <c r="BL112" i="7"/>
  <c r="BK112" i="7"/>
  <c r="BJ112" i="7"/>
  <c r="BI11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B112" i="7"/>
  <c r="A112" i="7"/>
  <c r="IV111" i="7"/>
  <c r="IU111" i="7"/>
  <c r="IT111" i="7"/>
  <c r="IS111" i="7"/>
  <c r="IR111" i="7"/>
  <c r="IQ111" i="7"/>
  <c r="IP111" i="7"/>
  <c r="IO111" i="7"/>
  <c r="IN111" i="7"/>
  <c r="IM111" i="7"/>
  <c r="IL111" i="7"/>
  <c r="IK111" i="7"/>
  <c r="IJ111" i="7"/>
  <c r="II111" i="7"/>
  <c r="IH111" i="7"/>
  <c r="IG111" i="7"/>
  <c r="IF111" i="7"/>
  <c r="IE111" i="7"/>
  <c r="ID111" i="7"/>
  <c r="IC111" i="7"/>
  <c r="IB111" i="7"/>
  <c r="IA111" i="7"/>
  <c r="HZ111" i="7"/>
  <c r="HY111" i="7"/>
  <c r="HX111" i="7"/>
  <c r="HW111" i="7"/>
  <c r="HV111" i="7"/>
  <c r="HU111" i="7"/>
  <c r="HT111" i="7"/>
  <c r="HS111" i="7"/>
  <c r="HR111" i="7"/>
  <c r="HQ111" i="7"/>
  <c r="HP111" i="7"/>
  <c r="HO111" i="7"/>
  <c r="HN111" i="7"/>
  <c r="HM111" i="7"/>
  <c r="HL111" i="7"/>
  <c r="HK111" i="7"/>
  <c r="HJ111" i="7"/>
  <c r="HI111" i="7"/>
  <c r="HH111" i="7"/>
  <c r="HG111" i="7"/>
  <c r="HF111" i="7"/>
  <c r="HE111" i="7"/>
  <c r="HD111" i="7"/>
  <c r="HC111" i="7"/>
  <c r="HB111" i="7"/>
  <c r="HA111" i="7"/>
  <c r="GZ111" i="7"/>
  <c r="GY111" i="7"/>
  <c r="GX111" i="7"/>
  <c r="GW111" i="7"/>
  <c r="GV111" i="7"/>
  <c r="GU111" i="7"/>
  <c r="GT111" i="7"/>
  <c r="GS111" i="7"/>
  <c r="GR111" i="7"/>
  <c r="GQ111" i="7"/>
  <c r="GP111" i="7"/>
  <c r="GO111" i="7"/>
  <c r="GN111" i="7"/>
  <c r="GM111" i="7"/>
  <c r="GL111" i="7"/>
  <c r="GK111" i="7"/>
  <c r="GJ111" i="7"/>
  <c r="GI111" i="7"/>
  <c r="GH111" i="7"/>
  <c r="GG111" i="7"/>
  <c r="GF111" i="7"/>
  <c r="GE111" i="7"/>
  <c r="GD111" i="7"/>
  <c r="GC111" i="7"/>
  <c r="GB111" i="7"/>
  <c r="GA111" i="7"/>
  <c r="FZ111" i="7"/>
  <c r="FY111" i="7"/>
  <c r="FX111" i="7"/>
  <c r="FW111" i="7"/>
  <c r="FV111" i="7"/>
  <c r="FU111" i="7"/>
  <c r="FT111" i="7"/>
  <c r="FS111" i="7"/>
  <c r="FR111" i="7"/>
  <c r="FQ111" i="7"/>
  <c r="FP111" i="7"/>
  <c r="FO111" i="7"/>
  <c r="FN111" i="7"/>
  <c r="FM111" i="7"/>
  <c r="FL111" i="7"/>
  <c r="FK111" i="7"/>
  <c r="FJ111" i="7"/>
  <c r="FI111" i="7"/>
  <c r="FH111" i="7"/>
  <c r="FG111" i="7"/>
  <c r="FF111" i="7"/>
  <c r="FE111" i="7"/>
  <c r="FD111" i="7"/>
  <c r="FC111" i="7"/>
  <c r="FB111" i="7"/>
  <c r="FA111" i="7"/>
  <c r="EZ111" i="7"/>
  <c r="EY111" i="7"/>
  <c r="EX111" i="7"/>
  <c r="EW111" i="7"/>
  <c r="EV111" i="7"/>
  <c r="EU111" i="7"/>
  <c r="ET111" i="7"/>
  <c r="ES111" i="7"/>
  <c r="ER111" i="7"/>
  <c r="EQ111" i="7"/>
  <c r="EP111" i="7"/>
  <c r="EO111" i="7"/>
  <c r="EN111" i="7"/>
  <c r="EM111" i="7"/>
  <c r="EL111" i="7"/>
  <c r="EK111" i="7"/>
  <c r="EJ111" i="7"/>
  <c r="EI111" i="7"/>
  <c r="EH111" i="7"/>
  <c r="EG111" i="7"/>
  <c r="EF111" i="7"/>
  <c r="EE111" i="7"/>
  <c r="ED111" i="7"/>
  <c r="EC111" i="7"/>
  <c r="EB111" i="7"/>
  <c r="EA111" i="7"/>
  <c r="DZ111" i="7"/>
  <c r="DY111" i="7"/>
  <c r="DX111" i="7"/>
  <c r="DW111" i="7"/>
  <c r="DV111" i="7"/>
  <c r="DU111" i="7"/>
  <c r="DT111" i="7"/>
  <c r="DS111" i="7"/>
  <c r="DR111" i="7"/>
  <c r="DQ111" i="7"/>
  <c r="DP111" i="7"/>
  <c r="DO111" i="7"/>
  <c r="DN111" i="7"/>
  <c r="DM111" i="7"/>
  <c r="DL111" i="7"/>
  <c r="DK111" i="7"/>
  <c r="DJ111" i="7"/>
  <c r="DI111" i="7"/>
  <c r="DH111" i="7"/>
  <c r="DG111" i="7"/>
  <c r="DF111" i="7"/>
  <c r="DE111" i="7"/>
  <c r="DD111" i="7"/>
  <c r="DC111" i="7"/>
  <c r="DB111" i="7"/>
  <c r="DA111" i="7"/>
  <c r="CZ111" i="7"/>
  <c r="CY111" i="7"/>
  <c r="CX111" i="7"/>
  <c r="CW111" i="7"/>
  <c r="CV111" i="7"/>
  <c r="CU111" i="7"/>
  <c r="CT111" i="7"/>
  <c r="CS111" i="7"/>
  <c r="CR111" i="7"/>
  <c r="CQ111" i="7"/>
  <c r="CP111" i="7"/>
  <c r="CO111" i="7"/>
  <c r="CN111" i="7"/>
  <c r="CM111" i="7"/>
  <c r="CL111" i="7"/>
  <c r="CK111" i="7"/>
  <c r="CJ111" i="7"/>
  <c r="CI111" i="7"/>
  <c r="CH111" i="7"/>
  <c r="CG111" i="7"/>
  <c r="CF111" i="7"/>
  <c r="CE111" i="7"/>
  <c r="CD111" i="7"/>
  <c r="CC111" i="7"/>
  <c r="CB111" i="7"/>
  <c r="CA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J111" i="7"/>
  <c r="BI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111" i="7"/>
  <c r="IV110" i="7"/>
  <c r="IU110" i="7"/>
  <c r="IT110" i="7"/>
  <c r="IS110" i="7"/>
  <c r="IR110" i="7"/>
  <c r="IQ110" i="7"/>
  <c r="IP110" i="7"/>
  <c r="IO110" i="7"/>
  <c r="IN110" i="7"/>
  <c r="IM110" i="7"/>
  <c r="IL110" i="7"/>
  <c r="IK110" i="7"/>
  <c r="IJ110" i="7"/>
  <c r="II110" i="7"/>
  <c r="IH110" i="7"/>
  <c r="IG110" i="7"/>
  <c r="IF110" i="7"/>
  <c r="IE110" i="7"/>
  <c r="ID110" i="7"/>
  <c r="IC110" i="7"/>
  <c r="IB110" i="7"/>
  <c r="IA110" i="7"/>
  <c r="HZ110" i="7"/>
  <c r="HY110" i="7"/>
  <c r="HX110" i="7"/>
  <c r="HW110" i="7"/>
  <c r="HV110" i="7"/>
  <c r="HU110" i="7"/>
  <c r="HT110" i="7"/>
  <c r="HS110" i="7"/>
  <c r="HR110" i="7"/>
  <c r="HQ110" i="7"/>
  <c r="HP110" i="7"/>
  <c r="HO110" i="7"/>
  <c r="HN110" i="7"/>
  <c r="HM110" i="7"/>
  <c r="HL110" i="7"/>
  <c r="HK110" i="7"/>
  <c r="HJ110" i="7"/>
  <c r="HI110" i="7"/>
  <c r="HH110" i="7"/>
  <c r="HG110" i="7"/>
  <c r="HF110" i="7"/>
  <c r="HE110" i="7"/>
  <c r="HD110" i="7"/>
  <c r="HC110" i="7"/>
  <c r="HB110" i="7"/>
  <c r="HA110" i="7"/>
  <c r="GZ110" i="7"/>
  <c r="GY110" i="7"/>
  <c r="GX110" i="7"/>
  <c r="GW110" i="7"/>
  <c r="GV110" i="7"/>
  <c r="GU110" i="7"/>
  <c r="GT110" i="7"/>
  <c r="GS110" i="7"/>
  <c r="GR110" i="7"/>
  <c r="GQ110" i="7"/>
  <c r="GP110" i="7"/>
  <c r="GO110" i="7"/>
  <c r="GN110" i="7"/>
  <c r="GM110" i="7"/>
  <c r="GL110" i="7"/>
  <c r="GK110" i="7"/>
  <c r="GJ110" i="7"/>
  <c r="GI110" i="7"/>
  <c r="GH110" i="7"/>
  <c r="GG110" i="7"/>
  <c r="GF110" i="7"/>
  <c r="GE110" i="7"/>
  <c r="GD110" i="7"/>
  <c r="GC110" i="7"/>
  <c r="GB110" i="7"/>
  <c r="GA110" i="7"/>
  <c r="FZ110" i="7"/>
  <c r="FY110" i="7"/>
  <c r="FX110" i="7"/>
  <c r="FW110" i="7"/>
  <c r="FV110" i="7"/>
  <c r="FU110" i="7"/>
  <c r="FT110" i="7"/>
  <c r="FS110" i="7"/>
  <c r="FR110" i="7"/>
  <c r="FQ110" i="7"/>
  <c r="FP110" i="7"/>
  <c r="FO110" i="7"/>
  <c r="FN110" i="7"/>
  <c r="FM110" i="7"/>
  <c r="FL110" i="7"/>
  <c r="FK110" i="7"/>
  <c r="FJ110" i="7"/>
  <c r="FI110" i="7"/>
  <c r="FH110" i="7"/>
  <c r="FG110" i="7"/>
  <c r="FF110" i="7"/>
  <c r="FE110" i="7"/>
  <c r="FD110" i="7"/>
  <c r="FC110" i="7"/>
  <c r="FB110" i="7"/>
  <c r="FA110" i="7"/>
  <c r="EZ110" i="7"/>
  <c r="EY110" i="7"/>
  <c r="EX110" i="7"/>
  <c r="EW110" i="7"/>
  <c r="EV110" i="7"/>
  <c r="EU110" i="7"/>
  <c r="ET110" i="7"/>
  <c r="ES110" i="7"/>
  <c r="ER110" i="7"/>
  <c r="EQ110" i="7"/>
  <c r="EP110" i="7"/>
  <c r="EO110" i="7"/>
  <c r="EN110" i="7"/>
  <c r="EM110" i="7"/>
  <c r="EL110" i="7"/>
  <c r="EK110" i="7"/>
  <c r="EJ110" i="7"/>
  <c r="EI110" i="7"/>
  <c r="EH110" i="7"/>
  <c r="EG110" i="7"/>
  <c r="EF110" i="7"/>
  <c r="EE110" i="7"/>
  <c r="ED110" i="7"/>
  <c r="EC110" i="7"/>
  <c r="EB110" i="7"/>
  <c r="EA110" i="7"/>
  <c r="DZ110" i="7"/>
  <c r="DY110" i="7"/>
  <c r="DX110" i="7"/>
  <c r="DW110" i="7"/>
  <c r="DV110" i="7"/>
  <c r="DU110" i="7"/>
  <c r="DT110" i="7"/>
  <c r="DS110" i="7"/>
  <c r="DR110" i="7"/>
  <c r="DQ110" i="7"/>
  <c r="DP110" i="7"/>
  <c r="DO110" i="7"/>
  <c r="DN110" i="7"/>
  <c r="DM110" i="7"/>
  <c r="DL110" i="7"/>
  <c r="DK110" i="7"/>
  <c r="DJ110" i="7"/>
  <c r="DI110" i="7"/>
  <c r="DH110" i="7"/>
  <c r="DG110" i="7"/>
  <c r="DF110" i="7"/>
  <c r="DE110" i="7"/>
  <c r="DD110" i="7"/>
  <c r="DC110" i="7"/>
  <c r="DB110" i="7"/>
  <c r="DA110" i="7"/>
  <c r="CZ110" i="7"/>
  <c r="CY110" i="7"/>
  <c r="CX110" i="7"/>
  <c r="CW110" i="7"/>
  <c r="CV110" i="7"/>
  <c r="CU110" i="7"/>
  <c r="CT110" i="7"/>
  <c r="CS110" i="7"/>
  <c r="CR110" i="7"/>
  <c r="CQ110" i="7"/>
  <c r="CP110" i="7"/>
  <c r="CO110" i="7"/>
  <c r="CN110" i="7"/>
  <c r="CM110" i="7"/>
  <c r="CL110" i="7"/>
  <c r="CK110" i="7"/>
  <c r="CJ110" i="7"/>
  <c r="CI110" i="7"/>
  <c r="CH110" i="7"/>
  <c r="CG110" i="7"/>
  <c r="CF110" i="7"/>
  <c r="CE110" i="7"/>
  <c r="CD110" i="7"/>
  <c r="CC110" i="7"/>
  <c r="CB110" i="7"/>
  <c r="CA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N110" i="7"/>
  <c r="BM110" i="7"/>
  <c r="BL110" i="7"/>
  <c r="BK110" i="7"/>
  <c r="BJ110" i="7"/>
  <c r="BI110" i="7"/>
  <c r="BH110" i="7"/>
  <c r="BG110" i="7"/>
  <c r="BF110" i="7"/>
  <c r="BE110" i="7"/>
  <c r="BD110" i="7"/>
  <c r="BC110" i="7"/>
  <c r="BB110" i="7"/>
  <c r="BA110" i="7"/>
  <c r="AZ110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A110" i="7"/>
  <c r="IV109" i="7"/>
  <c r="IU109" i="7"/>
  <c r="IT109" i="7"/>
  <c r="IS109" i="7"/>
  <c r="IR109" i="7"/>
  <c r="IQ109" i="7"/>
  <c r="IP109" i="7"/>
  <c r="IO109" i="7"/>
  <c r="IN109" i="7"/>
  <c r="IM109" i="7"/>
  <c r="IL109" i="7"/>
  <c r="IK109" i="7"/>
  <c r="IJ109" i="7"/>
  <c r="II109" i="7"/>
  <c r="IH109" i="7"/>
  <c r="IG109" i="7"/>
  <c r="IF109" i="7"/>
  <c r="IE109" i="7"/>
  <c r="ID109" i="7"/>
  <c r="IC109" i="7"/>
  <c r="IB109" i="7"/>
  <c r="IA109" i="7"/>
  <c r="HZ109" i="7"/>
  <c r="HY109" i="7"/>
  <c r="HX109" i="7"/>
  <c r="HW109" i="7"/>
  <c r="HV109" i="7"/>
  <c r="HU109" i="7"/>
  <c r="HT109" i="7"/>
  <c r="HS109" i="7"/>
  <c r="HR109" i="7"/>
  <c r="HQ109" i="7"/>
  <c r="HP109" i="7"/>
  <c r="HO109" i="7"/>
  <c r="HN109" i="7"/>
  <c r="HM109" i="7"/>
  <c r="HL109" i="7"/>
  <c r="HK109" i="7"/>
  <c r="HJ109" i="7"/>
  <c r="HI109" i="7"/>
  <c r="HH109" i="7"/>
  <c r="HG109" i="7"/>
  <c r="HF109" i="7"/>
  <c r="HE109" i="7"/>
  <c r="HD109" i="7"/>
  <c r="HC109" i="7"/>
  <c r="HB109" i="7"/>
  <c r="HA109" i="7"/>
  <c r="GZ109" i="7"/>
  <c r="GY109" i="7"/>
  <c r="GX109" i="7"/>
  <c r="GW109" i="7"/>
  <c r="GV109" i="7"/>
  <c r="GU109" i="7"/>
  <c r="GT109" i="7"/>
  <c r="GS109" i="7"/>
  <c r="GR109" i="7"/>
  <c r="GQ109" i="7"/>
  <c r="GP109" i="7"/>
  <c r="GO109" i="7"/>
  <c r="GN109" i="7"/>
  <c r="GM109" i="7"/>
  <c r="GL109" i="7"/>
  <c r="GK109" i="7"/>
  <c r="GJ109" i="7"/>
  <c r="GI109" i="7"/>
  <c r="GH109" i="7"/>
  <c r="GG109" i="7"/>
  <c r="GF109" i="7"/>
  <c r="GE109" i="7"/>
  <c r="GD109" i="7"/>
  <c r="GC109" i="7"/>
  <c r="GB109" i="7"/>
  <c r="GA109" i="7"/>
  <c r="FZ109" i="7"/>
  <c r="FY109" i="7"/>
  <c r="FX109" i="7"/>
  <c r="FW109" i="7"/>
  <c r="FV109" i="7"/>
  <c r="FU109" i="7"/>
  <c r="FT109" i="7"/>
  <c r="FS109" i="7"/>
  <c r="FR109" i="7"/>
  <c r="FQ109" i="7"/>
  <c r="FP109" i="7"/>
  <c r="FO109" i="7"/>
  <c r="FN109" i="7"/>
  <c r="FM109" i="7"/>
  <c r="FL109" i="7"/>
  <c r="FK109" i="7"/>
  <c r="FJ109" i="7"/>
  <c r="FI109" i="7"/>
  <c r="FH109" i="7"/>
  <c r="FG109" i="7"/>
  <c r="FF109" i="7"/>
  <c r="FE109" i="7"/>
  <c r="FD109" i="7"/>
  <c r="FC109" i="7"/>
  <c r="FB109" i="7"/>
  <c r="FA109" i="7"/>
  <c r="EZ109" i="7"/>
  <c r="EY109" i="7"/>
  <c r="EX109" i="7"/>
  <c r="EW109" i="7"/>
  <c r="EV109" i="7"/>
  <c r="EU109" i="7"/>
  <c r="ET109" i="7"/>
  <c r="ES109" i="7"/>
  <c r="ER109" i="7"/>
  <c r="EQ109" i="7"/>
  <c r="EP109" i="7"/>
  <c r="EO109" i="7"/>
  <c r="EN109" i="7"/>
  <c r="EM109" i="7"/>
  <c r="EL109" i="7"/>
  <c r="EK109" i="7"/>
  <c r="EJ109" i="7"/>
  <c r="EI109" i="7"/>
  <c r="EH109" i="7"/>
  <c r="EG109" i="7"/>
  <c r="EF109" i="7"/>
  <c r="EE109" i="7"/>
  <c r="ED109" i="7"/>
  <c r="EC109" i="7"/>
  <c r="EB109" i="7"/>
  <c r="EA109" i="7"/>
  <c r="DZ109" i="7"/>
  <c r="DY109" i="7"/>
  <c r="DX109" i="7"/>
  <c r="DW109" i="7"/>
  <c r="DV109" i="7"/>
  <c r="DU109" i="7"/>
  <c r="DT109" i="7"/>
  <c r="DS109" i="7"/>
  <c r="DR109" i="7"/>
  <c r="DQ109" i="7"/>
  <c r="DP109" i="7"/>
  <c r="DO109" i="7"/>
  <c r="DN109" i="7"/>
  <c r="DM109" i="7"/>
  <c r="DL109" i="7"/>
  <c r="DK109" i="7"/>
  <c r="DJ109" i="7"/>
  <c r="DI109" i="7"/>
  <c r="DH109" i="7"/>
  <c r="DG109" i="7"/>
  <c r="DF109" i="7"/>
  <c r="DE109" i="7"/>
  <c r="DD109" i="7"/>
  <c r="DC109" i="7"/>
  <c r="DB109" i="7"/>
  <c r="DA109" i="7"/>
  <c r="CZ109" i="7"/>
  <c r="CY109" i="7"/>
  <c r="CX109" i="7"/>
  <c r="CW109" i="7"/>
  <c r="CV109" i="7"/>
  <c r="CU109" i="7"/>
  <c r="CT109" i="7"/>
  <c r="CS109" i="7"/>
  <c r="CR109" i="7"/>
  <c r="CQ109" i="7"/>
  <c r="CP109" i="7"/>
  <c r="CO109" i="7"/>
  <c r="CN109" i="7"/>
  <c r="CM109" i="7"/>
  <c r="CL109" i="7"/>
  <c r="CK109" i="7"/>
  <c r="CJ109" i="7"/>
  <c r="CI109" i="7"/>
  <c r="CH109" i="7"/>
  <c r="CG109" i="7"/>
  <c r="CF109" i="7"/>
  <c r="CE109" i="7"/>
  <c r="CD109" i="7"/>
  <c r="CC109" i="7"/>
  <c r="CB109" i="7"/>
  <c r="CA109" i="7"/>
  <c r="BZ109" i="7"/>
  <c r="BY109" i="7"/>
  <c r="BX109" i="7"/>
  <c r="BW109" i="7"/>
  <c r="BV109" i="7"/>
  <c r="BU109" i="7"/>
  <c r="BT109" i="7"/>
  <c r="BS109" i="7"/>
  <c r="BR109" i="7"/>
  <c r="BQ109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109" i="7"/>
  <c r="A109" i="7"/>
  <c r="IV108" i="7"/>
  <c r="IU108" i="7"/>
  <c r="IT108" i="7"/>
  <c r="IS108" i="7"/>
  <c r="IR108" i="7"/>
  <c r="IQ108" i="7"/>
  <c r="IP108" i="7"/>
  <c r="IO108" i="7"/>
  <c r="IN108" i="7"/>
  <c r="IM108" i="7"/>
  <c r="IL108" i="7"/>
  <c r="IK108" i="7"/>
  <c r="IJ108" i="7"/>
  <c r="II108" i="7"/>
  <c r="IH108" i="7"/>
  <c r="IG108" i="7"/>
  <c r="IF108" i="7"/>
  <c r="IE108" i="7"/>
  <c r="ID108" i="7"/>
  <c r="IC108" i="7"/>
  <c r="IB108" i="7"/>
  <c r="IA108" i="7"/>
  <c r="HZ108" i="7"/>
  <c r="HY108" i="7"/>
  <c r="HX108" i="7"/>
  <c r="HW108" i="7"/>
  <c r="HV108" i="7"/>
  <c r="HU108" i="7"/>
  <c r="HT108" i="7"/>
  <c r="HS108" i="7"/>
  <c r="HR108" i="7"/>
  <c r="HQ108" i="7"/>
  <c r="HP108" i="7"/>
  <c r="HO108" i="7"/>
  <c r="HN108" i="7"/>
  <c r="HM108" i="7"/>
  <c r="HL108" i="7"/>
  <c r="HK108" i="7"/>
  <c r="HJ108" i="7"/>
  <c r="HI108" i="7"/>
  <c r="HH108" i="7"/>
  <c r="HG108" i="7"/>
  <c r="HF108" i="7"/>
  <c r="HE108" i="7"/>
  <c r="HD108" i="7"/>
  <c r="HC108" i="7"/>
  <c r="HB108" i="7"/>
  <c r="HA108" i="7"/>
  <c r="GZ108" i="7"/>
  <c r="GY108" i="7"/>
  <c r="GX108" i="7"/>
  <c r="GW108" i="7"/>
  <c r="GV108" i="7"/>
  <c r="GU108" i="7"/>
  <c r="GT108" i="7"/>
  <c r="GS108" i="7"/>
  <c r="GR108" i="7"/>
  <c r="GQ108" i="7"/>
  <c r="GP108" i="7"/>
  <c r="GO108" i="7"/>
  <c r="GN108" i="7"/>
  <c r="GM108" i="7"/>
  <c r="GL108" i="7"/>
  <c r="GK108" i="7"/>
  <c r="GJ108" i="7"/>
  <c r="GI108" i="7"/>
  <c r="GH108" i="7"/>
  <c r="GG108" i="7"/>
  <c r="GF108" i="7"/>
  <c r="GE108" i="7"/>
  <c r="GD108" i="7"/>
  <c r="GC108" i="7"/>
  <c r="GB108" i="7"/>
  <c r="GA108" i="7"/>
  <c r="FZ108" i="7"/>
  <c r="FY108" i="7"/>
  <c r="FX108" i="7"/>
  <c r="FW108" i="7"/>
  <c r="FV108" i="7"/>
  <c r="FU108" i="7"/>
  <c r="FT108" i="7"/>
  <c r="FS108" i="7"/>
  <c r="FR108" i="7"/>
  <c r="FQ108" i="7"/>
  <c r="FP108" i="7"/>
  <c r="FO108" i="7"/>
  <c r="FN108" i="7"/>
  <c r="FM108" i="7"/>
  <c r="FL108" i="7"/>
  <c r="FK108" i="7"/>
  <c r="FJ108" i="7"/>
  <c r="FI108" i="7"/>
  <c r="FH108" i="7"/>
  <c r="FG108" i="7"/>
  <c r="FF108" i="7"/>
  <c r="FE108" i="7"/>
  <c r="FD108" i="7"/>
  <c r="FC108" i="7"/>
  <c r="FB108" i="7"/>
  <c r="FA108" i="7"/>
  <c r="EZ108" i="7"/>
  <c r="EY108" i="7"/>
  <c r="EX108" i="7"/>
  <c r="EW108" i="7"/>
  <c r="EV108" i="7"/>
  <c r="EU108" i="7"/>
  <c r="ET108" i="7"/>
  <c r="ES108" i="7"/>
  <c r="ER108" i="7"/>
  <c r="EQ108" i="7"/>
  <c r="EP108" i="7"/>
  <c r="EO108" i="7"/>
  <c r="EN108" i="7"/>
  <c r="EM108" i="7"/>
  <c r="EL108" i="7"/>
  <c r="EK108" i="7"/>
  <c r="EJ108" i="7"/>
  <c r="EI108" i="7"/>
  <c r="EH108" i="7"/>
  <c r="EG108" i="7"/>
  <c r="EF108" i="7"/>
  <c r="EE108" i="7"/>
  <c r="ED108" i="7"/>
  <c r="EC108" i="7"/>
  <c r="EB108" i="7"/>
  <c r="EA108" i="7"/>
  <c r="DZ108" i="7"/>
  <c r="DY108" i="7"/>
  <c r="DX108" i="7"/>
  <c r="DW108" i="7"/>
  <c r="DV108" i="7"/>
  <c r="DU108" i="7"/>
  <c r="DT108" i="7"/>
  <c r="DS108" i="7"/>
  <c r="DR108" i="7"/>
  <c r="DQ108" i="7"/>
  <c r="DP108" i="7"/>
  <c r="DO108" i="7"/>
  <c r="DN108" i="7"/>
  <c r="DM108" i="7"/>
  <c r="DL108" i="7"/>
  <c r="DK108" i="7"/>
  <c r="DJ108" i="7"/>
  <c r="DI108" i="7"/>
  <c r="DH108" i="7"/>
  <c r="DG108" i="7"/>
  <c r="DF108" i="7"/>
  <c r="DE108" i="7"/>
  <c r="DD108" i="7"/>
  <c r="DC108" i="7"/>
  <c r="DB108" i="7"/>
  <c r="DA108" i="7"/>
  <c r="CZ108" i="7"/>
  <c r="CY108" i="7"/>
  <c r="CX108" i="7"/>
  <c r="CW108" i="7"/>
  <c r="CV108" i="7"/>
  <c r="CU108" i="7"/>
  <c r="CT108" i="7"/>
  <c r="CS108" i="7"/>
  <c r="CR108" i="7"/>
  <c r="CQ108" i="7"/>
  <c r="CP108" i="7"/>
  <c r="CO108" i="7"/>
  <c r="CN108" i="7"/>
  <c r="CM108" i="7"/>
  <c r="CL108" i="7"/>
  <c r="CK108" i="7"/>
  <c r="CJ108" i="7"/>
  <c r="CI108" i="7"/>
  <c r="CH108" i="7"/>
  <c r="CG108" i="7"/>
  <c r="CF108" i="7"/>
  <c r="CE108" i="7"/>
  <c r="CD108" i="7"/>
  <c r="CC108" i="7"/>
  <c r="CB108" i="7"/>
  <c r="CA108" i="7"/>
  <c r="BZ108" i="7"/>
  <c r="BY108" i="7"/>
  <c r="BX108" i="7"/>
  <c r="BW108" i="7"/>
  <c r="BV108" i="7"/>
  <c r="BU108" i="7"/>
  <c r="BT108" i="7"/>
  <c r="BS108" i="7"/>
  <c r="BR108" i="7"/>
  <c r="BQ108" i="7"/>
  <c r="BP108" i="7"/>
  <c r="BO108" i="7"/>
  <c r="BN108" i="7"/>
  <c r="BM108" i="7"/>
  <c r="BL108" i="7"/>
  <c r="BK108" i="7"/>
  <c r="BJ108" i="7"/>
  <c r="BI108" i="7"/>
  <c r="BH108" i="7"/>
  <c r="BG108" i="7"/>
  <c r="BF108" i="7"/>
  <c r="BE108" i="7"/>
  <c r="BD108" i="7"/>
  <c r="BC108" i="7"/>
  <c r="BB108" i="7"/>
  <c r="BA108" i="7"/>
  <c r="AZ108" i="7"/>
  <c r="AY108" i="7"/>
  <c r="AX108" i="7"/>
  <c r="AW108" i="7"/>
  <c r="AV108" i="7"/>
  <c r="AU108" i="7"/>
  <c r="AT108" i="7"/>
  <c r="AS108" i="7"/>
  <c r="AR108" i="7"/>
  <c r="AQ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R108" i="7"/>
  <c r="Q108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A108" i="7"/>
  <c r="IV107" i="7"/>
  <c r="IU107" i="7"/>
  <c r="IT107" i="7"/>
  <c r="IS107" i="7"/>
  <c r="IR107" i="7"/>
  <c r="IQ107" i="7"/>
  <c r="IP107" i="7"/>
  <c r="IO107" i="7"/>
  <c r="IN107" i="7"/>
  <c r="IM107" i="7"/>
  <c r="IL107" i="7"/>
  <c r="IK107" i="7"/>
  <c r="IJ107" i="7"/>
  <c r="II107" i="7"/>
  <c r="IH107" i="7"/>
  <c r="IG107" i="7"/>
  <c r="IF107" i="7"/>
  <c r="IE107" i="7"/>
  <c r="ID107" i="7"/>
  <c r="IC107" i="7"/>
  <c r="IB107" i="7"/>
  <c r="IA107" i="7"/>
  <c r="HZ107" i="7"/>
  <c r="HY107" i="7"/>
  <c r="HX107" i="7"/>
  <c r="HW107" i="7"/>
  <c r="HV107" i="7"/>
  <c r="HU107" i="7"/>
  <c r="HT107" i="7"/>
  <c r="HS107" i="7"/>
  <c r="HR107" i="7"/>
  <c r="HQ107" i="7"/>
  <c r="HP107" i="7"/>
  <c r="HO107" i="7"/>
  <c r="HN107" i="7"/>
  <c r="HM107" i="7"/>
  <c r="HL107" i="7"/>
  <c r="HK107" i="7"/>
  <c r="HJ107" i="7"/>
  <c r="HI107" i="7"/>
  <c r="HH107" i="7"/>
  <c r="HG107" i="7"/>
  <c r="HF107" i="7"/>
  <c r="HE107" i="7"/>
  <c r="HD107" i="7"/>
  <c r="HC107" i="7"/>
  <c r="HB107" i="7"/>
  <c r="HA107" i="7"/>
  <c r="GZ107" i="7"/>
  <c r="GY107" i="7"/>
  <c r="GX107" i="7"/>
  <c r="GW107" i="7"/>
  <c r="GV107" i="7"/>
  <c r="GU107" i="7"/>
  <c r="GT107" i="7"/>
  <c r="GS107" i="7"/>
  <c r="GR107" i="7"/>
  <c r="GQ107" i="7"/>
  <c r="GP107" i="7"/>
  <c r="GO107" i="7"/>
  <c r="GN107" i="7"/>
  <c r="GM107" i="7"/>
  <c r="GL107" i="7"/>
  <c r="GK107" i="7"/>
  <c r="GJ107" i="7"/>
  <c r="GI107" i="7"/>
  <c r="GH107" i="7"/>
  <c r="GG107" i="7"/>
  <c r="GF107" i="7"/>
  <c r="GE107" i="7"/>
  <c r="GD107" i="7"/>
  <c r="GC107" i="7"/>
  <c r="GB107" i="7"/>
  <c r="GA107" i="7"/>
  <c r="FZ107" i="7"/>
  <c r="FY107" i="7"/>
  <c r="FX107" i="7"/>
  <c r="FW107" i="7"/>
  <c r="FV107" i="7"/>
  <c r="FU107" i="7"/>
  <c r="FT107" i="7"/>
  <c r="FS107" i="7"/>
  <c r="FR107" i="7"/>
  <c r="FQ107" i="7"/>
  <c r="FP107" i="7"/>
  <c r="FO107" i="7"/>
  <c r="FN107" i="7"/>
  <c r="FM107" i="7"/>
  <c r="FL107" i="7"/>
  <c r="FK107" i="7"/>
  <c r="FJ107" i="7"/>
  <c r="FI107" i="7"/>
  <c r="FH107" i="7"/>
  <c r="FG107" i="7"/>
  <c r="FF107" i="7"/>
  <c r="FE107" i="7"/>
  <c r="FD107" i="7"/>
  <c r="FC107" i="7"/>
  <c r="FB107" i="7"/>
  <c r="FA107" i="7"/>
  <c r="EZ107" i="7"/>
  <c r="EY107" i="7"/>
  <c r="EX107" i="7"/>
  <c r="EW107" i="7"/>
  <c r="EV107" i="7"/>
  <c r="EU107" i="7"/>
  <c r="ET107" i="7"/>
  <c r="ES107" i="7"/>
  <c r="ER107" i="7"/>
  <c r="EQ107" i="7"/>
  <c r="EP107" i="7"/>
  <c r="EO107" i="7"/>
  <c r="EN107" i="7"/>
  <c r="EM107" i="7"/>
  <c r="EL107" i="7"/>
  <c r="EK107" i="7"/>
  <c r="EJ107" i="7"/>
  <c r="EI107" i="7"/>
  <c r="EH107" i="7"/>
  <c r="EG107" i="7"/>
  <c r="EF107" i="7"/>
  <c r="EE107" i="7"/>
  <c r="ED107" i="7"/>
  <c r="EC107" i="7"/>
  <c r="EB107" i="7"/>
  <c r="EA107" i="7"/>
  <c r="DZ107" i="7"/>
  <c r="DY107" i="7"/>
  <c r="DX107" i="7"/>
  <c r="DW107" i="7"/>
  <c r="DV107" i="7"/>
  <c r="DU107" i="7"/>
  <c r="DT107" i="7"/>
  <c r="DS107" i="7"/>
  <c r="DR107" i="7"/>
  <c r="DQ107" i="7"/>
  <c r="DP107" i="7"/>
  <c r="DO107" i="7"/>
  <c r="DN107" i="7"/>
  <c r="DM107" i="7"/>
  <c r="DL107" i="7"/>
  <c r="DK107" i="7"/>
  <c r="DJ107" i="7"/>
  <c r="DI107" i="7"/>
  <c r="DH107" i="7"/>
  <c r="DG107" i="7"/>
  <c r="DF107" i="7"/>
  <c r="DE107" i="7"/>
  <c r="DD107" i="7"/>
  <c r="DC107" i="7"/>
  <c r="DB107" i="7"/>
  <c r="DA107" i="7"/>
  <c r="CZ107" i="7"/>
  <c r="CY107" i="7"/>
  <c r="CX107" i="7"/>
  <c r="CW107" i="7"/>
  <c r="CV107" i="7"/>
  <c r="CU107" i="7"/>
  <c r="CT107" i="7"/>
  <c r="CS107" i="7"/>
  <c r="CR107" i="7"/>
  <c r="CQ107" i="7"/>
  <c r="CP107" i="7"/>
  <c r="CO107" i="7"/>
  <c r="CN107" i="7"/>
  <c r="CM107" i="7"/>
  <c r="CL107" i="7"/>
  <c r="CK107" i="7"/>
  <c r="CJ107" i="7"/>
  <c r="CI107" i="7"/>
  <c r="CH107" i="7"/>
  <c r="CG107" i="7"/>
  <c r="CF107" i="7"/>
  <c r="CE107" i="7"/>
  <c r="CD107" i="7"/>
  <c r="CC107" i="7"/>
  <c r="CB107" i="7"/>
  <c r="CA107" i="7"/>
  <c r="BZ107" i="7"/>
  <c r="BY107" i="7"/>
  <c r="BX107" i="7"/>
  <c r="BW107" i="7"/>
  <c r="BV107" i="7"/>
  <c r="BU107" i="7"/>
  <c r="BT107" i="7"/>
  <c r="BS107" i="7"/>
  <c r="BR107" i="7"/>
  <c r="BQ107" i="7"/>
  <c r="BP107" i="7"/>
  <c r="BO107" i="7"/>
  <c r="BN107" i="7"/>
  <c r="BM107" i="7"/>
  <c r="BL107" i="7"/>
  <c r="BK107" i="7"/>
  <c r="BJ107" i="7"/>
  <c r="BI107" i="7"/>
  <c r="BH107" i="7"/>
  <c r="BG107" i="7"/>
  <c r="BF107" i="7"/>
  <c r="BE107" i="7"/>
  <c r="BD107" i="7"/>
  <c r="BC107" i="7"/>
  <c r="BB107" i="7"/>
  <c r="BA107" i="7"/>
  <c r="AZ107" i="7"/>
  <c r="AY107" i="7"/>
  <c r="AX107" i="7"/>
  <c r="AW107" i="7"/>
  <c r="AV107" i="7"/>
  <c r="AU107" i="7"/>
  <c r="AT107" i="7"/>
  <c r="AS107" i="7"/>
  <c r="AR107" i="7"/>
  <c r="AQ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A107" i="7"/>
  <c r="IV106" i="7"/>
  <c r="IU106" i="7"/>
  <c r="IT106" i="7"/>
  <c r="IS106" i="7"/>
  <c r="IR106" i="7"/>
  <c r="IQ106" i="7"/>
  <c r="IP106" i="7"/>
  <c r="IO106" i="7"/>
  <c r="IN106" i="7"/>
  <c r="IM106" i="7"/>
  <c r="IL106" i="7"/>
  <c r="IK106" i="7"/>
  <c r="IJ106" i="7"/>
  <c r="II106" i="7"/>
  <c r="IH106" i="7"/>
  <c r="IG106" i="7"/>
  <c r="IF106" i="7"/>
  <c r="IE106" i="7"/>
  <c r="ID106" i="7"/>
  <c r="IC106" i="7"/>
  <c r="IB106" i="7"/>
  <c r="IA106" i="7"/>
  <c r="HZ106" i="7"/>
  <c r="HY106" i="7"/>
  <c r="HX106" i="7"/>
  <c r="HW106" i="7"/>
  <c r="HV106" i="7"/>
  <c r="HU106" i="7"/>
  <c r="HT106" i="7"/>
  <c r="HS106" i="7"/>
  <c r="HR106" i="7"/>
  <c r="HQ106" i="7"/>
  <c r="HP106" i="7"/>
  <c r="HO106" i="7"/>
  <c r="HN106" i="7"/>
  <c r="HM106" i="7"/>
  <c r="HL106" i="7"/>
  <c r="HK106" i="7"/>
  <c r="HJ106" i="7"/>
  <c r="HI106" i="7"/>
  <c r="HH106" i="7"/>
  <c r="HG106" i="7"/>
  <c r="HF106" i="7"/>
  <c r="HE106" i="7"/>
  <c r="HD106" i="7"/>
  <c r="HC106" i="7"/>
  <c r="HB106" i="7"/>
  <c r="HA106" i="7"/>
  <c r="GZ106" i="7"/>
  <c r="GY106" i="7"/>
  <c r="GX106" i="7"/>
  <c r="GW106" i="7"/>
  <c r="GV106" i="7"/>
  <c r="GU106" i="7"/>
  <c r="GT106" i="7"/>
  <c r="GS106" i="7"/>
  <c r="GR106" i="7"/>
  <c r="GQ106" i="7"/>
  <c r="GP106" i="7"/>
  <c r="GO106" i="7"/>
  <c r="GN106" i="7"/>
  <c r="GM106" i="7"/>
  <c r="GL106" i="7"/>
  <c r="GK106" i="7"/>
  <c r="GJ106" i="7"/>
  <c r="GI106" i="7"/>
  <c r="GH106" i="7"/>
  <c r="GG106" i="7"/>
  <c r="GF106" i="7"/>
  <c r="GE106" i="7"/>
  <c r="GD106" i="7"/>
  <c r="GC106" i="7"/>
  <c r="GB106" i="7"/>
  <c r="GA106" i="7"/>
  <c r="FZ106" i="7"/>
  <c r="FY106" i="7"/>
  <c r="FX106" i="7"/>
  <c r="FW106" i="7"/>
  <c r="FV106" i="7"/>
  <c r="FU106" i="7"/>
  <c r="FT106" i="7"/>
  <c r="FS106" i="7"/>
  <c r="FR106" i="7"/>
  <c r="FQ106" i="7"/>
  <c r="FP106" i="7"/>
  <c r="FO106" i="7"/>
  <c r="FN106" i="7"/>
  <c r="FM106" i="7"/>
  <c r="FL106" i="7"/>
  <c r="FK106" i="7"/>
  <c r="FJ106" i="7"/>
  <c r="FI106" i="7"/>
  <c r="FH106" i="7"/>
  <c r="FG106" i="7"/>
  <c r="FF106" i="7"/>
  <c r="FE106" i="7"/>
  <c r="FD106" i="7"/>
  <c r="FC106" i="7"/>
  <c r="FB106" i="7"/>
  <c r="FA106" i="7"/>
  <c r="EZ106" i="7"/>
  <c r="EY106" i="7"/>
  <c r="EX106" i="7"/>
  <c r="EW106" i="7"/>
  <c r="EV106" i="7"/>
  <c r="EU106" i="7"/>
  <c r="ET106" i="7"/>
  <c r="ES106" i="7"/>
  <c r="ER106" i="7"/>
  <c r="EQ106" i="7"/>
  <c r="EP106" i="7"/>
  <c r="EO106" i="7"/>
  <c r="EN106" i="7"/>
  <c r="EM106" i="7"/>
  <c r="EL106" i="7"/>
  <c r="EK106" i="7"/>
  <c r="EJ106" i="7"/>
  <c r="EI106" i="7"/>
  <c r="EH106" i="7"/>
  <c r="EG106" i="7"/>
  <c r="EF106" i="7"/>
  <c r="EE106" i="7"/>
  <c r="ED106" i="7"/>
  <c r="EC106" i="7"/>
  <c r="EB106" i="7"/>
  <c r="EA106" i="7"/>
  <c r="DZ106" i="7"/>
  <c r="DY106" i="7"/>
  <c r="DX106" i="7"/>
  <c r="DW106" i="7"/>
  <c r="DV106" i="7"/>
  <c r="DU106" i="7"/>
  <c r="DT106" i="7"/>
  <c r="DS106" i="7"/>
  <c r="DR106" i="7"/>
  <c r="DQ106" i="7"/>
  <c r="DP106" i="7"/>
  <c r="DO106" i="7"/>
  <c r="DN106" i="7"/>
  <c r="DM106" i="7"/>
  <c r="DL106" i="7"/>
  <c r="DK106" i="7"/>
  <c r="DJ106" i="7"/>
  <c r="DI106" i="7"/>
  <c r="DH106" i="7"/>
  <c r="DG106" i="7"/>
  <c r="DF106" i="7"/>
  <c r="DE106" i="7"/>
  <c r="DD106" i="7"/>
  <c r="DC106" i="7"/>
  <c r="DB106" i="7"/>
  <c r="DA106" i="7"/>
  <c r="CZ106" i="7"/>
  <c r="CY106" i="7"/>
  <c r="CX106" i="7"/>
  <c r="CW106" i="7"/>
  <c r="CV106" i="7"/>
  <c r="CU106" i="7"/>
  <c r="CT106" i="7"/>
  <c r="CS106" i="7"/>
  <c r="CR106" i="7"/>
  <c r="CQ106" i="7"/>
  <c r="CP106" i="7"/>
  <c r="CO106" i="7"/>
  <c r="CN106" i="7"/>
  <c r="CM106" i="7"/>
  <c r="CL106" i="7"/>
  <c r="CK106" i="7"/>
  <c r="CJ106" i="7"/>
  <c r="CI106" i="7"/>
  <c r="CH106" i="7"/>
  <c r="CG106" i="7"/>
  <c r="CF106" i="7"/>
  <c r="CE106" i="7"/>
  <c r="CD106" i="7"/>
  <c r="CC106" i="7"/>
  <c r="CB106" i="7"/>
  <c r="CA106" i="7"/>
  <c r="BZ106" i="7"/>
  <c r="BY106" i="7"/>
  <c r="BX106" i="7"/>
  <c r="BW106" i="7"/>
  <c r="BV106" i="7"/>
  <c r="BU106" i="7"/>
  <c r="BT106" i="7"/>
  <c r="BS106" i="7"/>
  <c r="BR106" i="7"/>
  <c r="BQ106" i="7"/>
  <c r="BP106" i="7"/>
  <c r="BO106" i="7"/>
  <c r="BN106" i="7"/>
  <c r="BM106" i="7"/>
  <c r="BL106" i="7"/>
  <c r="BK106" i="7"/>
  <c r="BJ106" i="7"/>
  <c r="BI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A106" i="7"/>
  <c r="IV105" i="7"/>
  <c r="IU105" i="7"/>
  <c r="IT105" i="7"/>
  <c r="IS105" i="7"/>
  <c r="IR105" i="7"/>
  <c r="IQ105" i="7"/>
  <c r="IP105" i="7"/>
  <c r="IO105" i="7"/>
  <c r="IN105" i="7"/>
  <c r="IM105" i="7"/>
  <c r="IL105" i="7"/>
  <c r="IK105" i="7"/>
  <c r="IJ105" i="7"/>
  <c r="II105" i="7"/>
  <c r="IH105" i="7"/>
  <c r="IG105" i="7"/>
  <c r="IF105" i="7"/>
  <c r="IE105" i="7"/>
  <c r="ID105" i="7"/>
  <c r="IC105" i="7"/>
  <c r="IB105" i="7"/>
  <c r="IA105" i="7"/>
  <c r="HZ105" i="7"/>
  <c r="HY105" i="7"/>
  <c r="HX105" i="7"/>
  <c r="HW105" i="7"/>
  <c r="HV105" i="7"/>
  <c r="HU105" i="7"/>
  <c r="HT105" i="7"/>
  <c r="HS105" i="7"/>
  <c r="HR105" i="7"/>
  <c r="HQ105" i="7"/>
  <c r="HP105" i="7"/>
  <c r="HO105" i="7"/>
  <c r="HN105" i="7"/>
  <c r="HM105" i="7"/>
  <c r="HL105" i="7"/>
  <c r="HK105" i="7"/>
  <c r="HJ105" i="7"/>
  <c r="HI105" i="7"/>
  <c r="HH105" i="7"/>
  <c r="HG105" i="7"/>
  <c r="HF105" i="7"/>
  <c r="HE105" i="7"/>
  <c r="HD105" i="7"/>
  <c r="HC105" i="7"/>
  <c r="HB105" i="7"/>
  <c r="HA105" i="7"/>
  <c r="GZ105" i="7"/>
  <c r="GY105" i="7"/>
  <c r="GX105" i="7"/>
  <c r="GW105" i="7"/>
  <c r="GV105" i="7"/>
  <c r="GU105" i="7"/>
  <c r="GT105" i="7"/>
  <c r="GS105" i="7"/>
  <c r="GR105" i="7"/>
  <c r="GQ105" i="7"/>
  <c r="GP105" i="7"/>
  <c r="GO105" i="7"/>
  <c r="GN105" i="7"/>
  <c r="GM105" i="7"/>
  <c r="GL105" i="7"/>
  <c r="GK105" i="7"/>
  <c r="GJ105" i="7"/>
  <c r="GI105" i="7"/>
  <c r="GH105" i="7"/>
  <c r="GG105" i="7"/>
  <c r="GF105" i="7"/>
  <c r="GE105" i="7"/>
  <c r="GD105" i="7"/>
  <c r="GC105" i="7"/>
  <c r="GB105" i="7"/>
  <c r="GA105" i="7"/>
  <c r="FZ105" i="7"/>
  <c r="FY105" i="7"/>
  <c r="FX105" i="7"/>
  <c r="FW105" i="7"/>
  <c r="FV105" i="7"/>
  <c r="FU105" i="7"/>
  <c r="FT105" i="7"/>
  <c r="FS105" i="7"/>
  <c r="FR105" i="7"/>
  <c r="FQ105" i="7"/>
  <c r="FP105" i="7"/>
  <c r="FO105" i="7"/>
  <c r="FN105" i="7"/>
  <c r="FM105" i="7"/>
  <c r="FL105" i="7"/>
  <c r="FK105" i="7"/>
  <c r="FJ105" i="7"/>
  <c r="FI105" i="7"/>
  <c r="FH105" i="7"/>
  <c r="FG105" i="7"/>
  <c r="FF105" i="7"/>
  <c r="FE105" i="7"/>
  <c r="FD105" i="7"/>
  <c r="FC105" i="7"/>
  <c r="FB105" i="7"/>
  <c r="FA105" i="7"/>
  <c r="EZ105" i="7"/>
  <c r="EY105" i="7"/>
  <c r="EX105" i="7"/>
  <c r="EW105" i="7"/>
  <c r="EV105" i="7"/>
  <c r="EU105" i="7"/>
  <c r="ET105" i="7"/>
  <c r="ES105" i="7"/>
  <c r="ER105" i="7"/>
  <c r="EQ105" i="7"/>
  <c r="EP105" i="7"/>
  <c r="EO105" i="7"/>
  <c r="EN105" i="7"/>
  <c r="EM105" i="7"/>
  <c r="EL105" i="7"/>
  <c r="EK105" i="7"/>
  <c r="EJ105" i="7"/>
  <c r="EI105" i="7"/>
  <c r="EH105" i="7"/>
  <c r="EG105" i="7"/>
  <c r="EF105" i="7"/>
  <c r="EE105" i="7"/>
  <c r="ED105" i="7"/>
  <c r="EC105" i="7"/>
  <c r="EB105" i="7"/>
  <c r="EA105" i="7"/>
  <c r="DZ105" i="7"/>
  <c r="DY105" i="7"/>
  <c r="DX105" i="7"/>
  <c r="DW105" i="7"/>
  <c r="DV105" i="7"/>
  <c r="DU105" i="7"/>
  <c r="DT105" i="7"/>
  <c r="DS105" i="7"/>
  <c r="DR105" i="7"/>
  <c r="DQ105" i="7"/>
  <c r="DP105" i="7"/>
  <c r="DO105" i="7"/>
  <c r="DN105" i="7"/>
  <c r="DM105" i="7"/>
  <c r="DL105" i="7"/>
  <c r="DK105" i="7"/>
  <c r="DJ105" i="7"/>
  <c r="DI105" i="7"/>
  <c r="DH105" i="7"/>
  <c r="DG105" i="7"/>
  <c r="DF105" i="7"/>
  <c r="DE105" i="7"/>
  <c r="DD105" i="7"/>
  <c r="DC105" i="7"/>
  <c r="DB105" i="7"/>
  <c r="DA105" i="7"/>
  <c r="CZ105" i="7"/>
  <c r="CY105" i="7"/>
  <c r="CX105" i="7"/>
  <c r="CW105" i="7"/>
  <c r="CV105" i="7"/>
  <c r="CU105" i="7"/>
  <c r="CT105" i="7"/>
  <c r="CS105" i="7"/>
  <c r="CR105" i="7"/>
  <c r="CQ105" i="7"/>
  <c r="CP105" i="7"/>
  <c r="CO105" i="7"/>
  <c r="CN105" i="7"/>
  <c r="CM105" i="7"/>
  <c r="CL105" i="7"/>
  <c r="CK105" i="7"/>
  <c r="CJ105" i="7"/>
  <c r="CI105" i="7"/>
  <c r="CH105" i="7"/>
  <c r="CG105" i="7"/>
  <c r="CF105" i="7"/>
  <c r="CE105" i="7"/>
  <c r="CD105" i="7"/>
  <c r="CC105" i="7"/>
  <c r="CB105" i="7"/>
  <c r="CA105" i="7"/>
  <c r="BZ105" i="7"/>
  <c r="BY105" i="7"/>
  <c r="BX105" i="7"/>
  <c r="BW105" i="7"/>
  <c r="BV105" i="7"/>
  <c r="BU105" i="7"/>
  <c r="BT105" i="7"/>
  <c r="BS105" i="7"/>
  <c r="BR105" i="7"/>
  <c r="BQ105" i="7"/>
  <c r="BP105" i="7"/>
  <c r="BO105" i="7"/>
  <c r="BN105" i="7"/>
  <c r="BM105" i="7"/>
  <c r="BL105" i="7"/>
  <c r="BK105" i="7"/>
  <c r="BJ105" i="7"/>
  <c r="BI105" i="7"/>
  <c r="BH105" i="7"/>
  <c r="BG105" i="7"/>
  <c r="BF105" i="7"/>
  <c r="BE105" i="7"/>
  <c r="BD105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105" i="7"/>
  <c r="IV104" i="7"/>
  <c r="IU104" i="7"/>
  <c r="IT104" i="7"/>
  <c r="IS104" i="7"/>
  <c r="IR104" i="7"/>
  <c r="IQ104" i="7"/>
  <c r="IP104" i="7"/>
  <c r="IO104" i="7"/>
  <c r="IN104" i="7"/>
  <c r="IM104" i="7"/>
  <c r="IL104" i="7"/>
  <c r="IK104" i="7"/>
  <c r="IJ104" i="7"/>
  <c r="II104" i="7"/>
  <c r="IH104" i="7"/>
  <c r="IG104" i="7"/>
  <c r="IF104" i="7"/>
  <c r="IE104" i="7"/>
  <c r="ID104" i="7"/>
  <c r="IC104" i="7"/>
  <c r="IB104" i="7"/>
  <c r="IA104" i="7"/>
  <c r="HZ104" i="7"/>
  <c r="HY104" i="7"/>
  <c r="HX104" i="7"/>
  <c r="HW104" i="7"/>
  <c r="HV104" i="7"/>
  <c r="HU104" i="7"/>
  <c r="HT104" i="7"/>
  <c r="HS104" i="7"/>
  <c r="HR104" i="7"/>
  <c r="HQ104" i="7"/>
  <c r="HP104" i="7"/>
  <c r="HO104" i="7"/>
  <c r="HN104" i="7"/>
  <c r="HM104" i="7"/>
  <c r="HL104" i="7"/>
  <c r="HK104" i="7"/>
  <c r="HJ104" i="7"/>
  <c r="HI104" i="7"/>
  <c r="HH104" i="7"/>
  <c r="HG104" i="7"/>
  <c r="HF104" i="7"/>
  <c r="HE104" i="7"/>
  <c r="HD104" i="7"/>
  <c r="HC104" i="7"/>
  <c r="HB104" i="7"/>
  <c r="HA104" i="7"/>
  <c r="GZ104" i="7"/>
  <c r="GY104" i="7"/>
  <c r="GX104" i="7"/>
  <c r="GW104" i="7"/>
  <c r="GV104" i="7"/>
  <c r="GU104" i="7"/>
  <c r="GT104" i="7"/>
  <c r="GS104" i="7"/>
  <c r="GR104" i="7"/>
  <c r="GQ104" i="7"/>
  <c r="GP104" i="7"/>
  <c r="GO104" i="7"/>
  <c r="GN104" i="7"/>
  <c r="GM104" i="7"/>
  <c r="GL104" i="7"/>
  <c r="GK104" i="7"/>
  <c r="GJ104" i="7"/>
  <c r="GI104" i="7"/>
  <c r="GH104" i="7"/>
  <c r="GG104" i="7"/>
  <c r="GF104" i="7"/>
  <c r="GE104" i="7"/>
  <c r="GD104" i="7"/>
  <c r="GC104" i="7"/>
  <c r="GB104" i="7"/>
  <c r="GA104" i="7"/>
  <c r="FZ104" i="7"/>
  <c r="FY104" i="7"/>
  <c r="FX104" i="7"/>
  <c r="FW104" i="7"/>
  <c r="FV104" i="7"/>
  <c r="FU104" i="7"/>
  <c r="FT104" i="7"/>
  <c r="FS104" i="7"/>
  <c r="FR104" i="7"/>
  <c r="FQ104" i="7"/>
  <c r="FP104" i="7"/>
  <c r="FO104" i="7"/>
  <c r="FN104" i="7"/>
  <c r="FM104" i="7"/>
  <c r="FL104" i="7"/>
  <c r="FK104" i="7"/>
  <c r="FJ104" i="7"/>
  <c r="FI104" i="7"/>
  <c r="FH104" i="7"/>
  <c r="FG104" i="7"/>
  <c r="FF104" i="7"/>
  <c r="FE104" i="7"/>
  <c r="FD104" i="7"/>
  <c r="FC104" i="7"/>
  <c r="FB104" i="7"/>
  <c r="FA104" i="7"/>
  <c r="EZ104" i="7"/>
  <c r="EY104" i="7"/>
  <c r="EX104" i="7"/>
  <c r="EW104" i="7"/>
  <c r="EV104" i="7"/>
  <c r="EU104" i="7"/>
  <c r="ET104" i="7"/>
  <c r="ES104" i="7"/>
  <c r="ER104" i="7"/>
  <c r="EQ104" i="7"/>
  <c r="EP104" i="7"/>
  <c r="EO104" i="7"/>
  <c r="EN104" i="7"/>
  <c r="EM104" i="7"/>
  <c r="EL104" i="7"/>
  <c r="EK104" i="7"/>
  <c r="EJ104" i="7"/>
  <c r="EI104" i="7"/>
  <c r="EH104" i="7"/>
  <c r="EG104" i="7"/>
  <c r="EF104" i="7"/>
  <c r="EE104" i="7"/>
  <c r="ED104" i="7"/>
  <c r="EC104" i="7"/>
  <c r="EB104" i="7"/>
  <c r="EA104" i="7"/>
  <c r="DZ104" i="7"/>
  <c r="DY104" i="7"/>
  <c r="DX104" i="7"/>
  <c r="DW104" i="7"/>
  <c r="DV104" i="7"/>
  <c r="DU104" i="7"/>
  <c r="DT104" i="7"/>
  <c r="DS104" i="7"/>
  <c r="DR104" i="7"/>
  <c r="DQ104" i="7"/>
  <c r="DP104" i="7"/>
  <c r="DO104" i="7"/>
  <c r="DN104" i="7"/>
  <c r="DM104" i="7"/>
  <c r="DL104" i="7"/>
  <c r="DK104" i="7"/>
  <c r="DJ104" i="7"/>
  <c r="DI104" i="7"/>
  <c r="DH104" i="7"/>
  <c r="DG104" i="7"/>
  <c r="DF104" i="7"/>
  <c r="DE104" i="7"/>
  <c r="DD104" i="7"/>
  <c r="DC104" i="7"/>
  <c r="DB104" i="7"/>
  <c r="DA104" i="7"/>
  <c r="CZ104" i="7"/>
  <c r="CY104" i="7"/>
  <c r="CX104" i="7"/>
  <c r="CW104" i="7"/>
  <c r="CV104" i="7"/>
  <c r="CU104" i="7"/>
  <c r="CT104" i="7"/>
  <c r="CS104" i="7"/>
  <c r="CR104" i="7"/>
  <c r="CQ104" i="7"/>
  <c r="CP104" i="7"/>
  <c r="CO104" i="7"/>
  <c r="CN104" i="7"/>
  <c r="CM104" i="7"/>
  <c r="CL104" i="7"/>
  <c r="CK104" i="7"/>
  <c r="CJ104" i="7"/>
  <c r="CI104" i="7"/>
  <c r="CH104" i="7"/>
  <c r="CG104" i="7"/>
  <c r="CF104" i="7"/>
  <c r="CE104" i="7"/>
  <c r="CD104" i="7"/>
  <c r="CC104" i="7"/>
  <c r="CB104" i="7"/>
  <c r="CA104" i="7"/>
  <c r="BZ104" i="7"/>
  <c r="BY104" i="7"/>
  <c r="BX104" i="7"/>
  <c r="BW104" i="7"/>
  <c r="BV104" i="7"/>
  <c r="BU104" i="7"/>
  <c r="BT104" i="7"/>
  <c r="BS104" i="7"/>
  <c r="BR104" i="7"/>
  <c r="BQ104" i="7"/>
  <c r="BP104" i="7"/>
  <c r="BO104" i="7"/>
  <c r="BN104" i="7"/>
  <c r="BM104" i="7"/>
  <c r="BL104" i="7"/>
  <c r="BK104" i="7"/>
  <c r="BJ104" i="7"/>
  <c r="BI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C104" i="7"/>
  <c r="B104" i="7"/>
  <c r="A104" i="7"/>
  <c r="IV103" i="7"/>
  <c r="IU103" i="7"/>
  <c r="IT103" i="7"/>
  <c r="IS103" i="7"/>
  <c r="IR103" i="7"/>
  <c r="IQ103" i="7"/>
  <c r="IP103" i="7"/>
  <c r="IO103" i="7"/>
  <c r="IN103" i="7"/>
  <c r="IM103" i="7"/>
  <c r="IL103" i="7"/>
  <c r="IK103" i="7"/>
  <c r="IJ103" i="7"/>
  <c r="II103" i="7"/>
  <c r="IH103" i="7"/>
  <c r="IG103" i="7"/>
  <c r="IF103" i="7"/>
  <c r="IE103" i="7"/>
  <c r="ID103" i="7"/>
  <c r="IC103" i="7"/>
  <c r="IB103" i="7"/>
  <c r="IA103" i="7"/>
  <c r="HZ103" i="7"/>
  <c r="HY103" i="7"/>
  <c r="HX103" i="7"/>
  <c r="HW103" i="7"/>
  <c r="HV103" i="7"/>
  <c r="HU103" i="7"/>
  <c r="HT103" i="7"/>
  <c r="HS103" i="7"/>
  <c r="HR103" i="7"/>
  <c r="HQ103" i="7"/>
  <c r="HP103" i="7"/>
  <c r="HO103" i="7"/>
  <c r="HN103" i="7"/>
  <c r="HM103" i="7"/>
  <c r="HL103" i="7"/>
  <c r="HK103" i="7"/>
  <c r="HJ103" i="7"/>
  <c r="HI103" i="7"/>
  <c r="HH103" i="7"/>
  <c r="HG103" i="7"/>
  <c r="HF103" i="7"/>
  <c r="HE103" i="7"/>
  <c r="HD103" i="7"/>
  <c r="HC103" i="7"/>
  <c r="HB103" i="7"/>
  <c r="HA103" i="7"/>
  <c r="GZ103" i="7"/>
  <c r="GY103" i="7"/>
  <c r="GX103" i="7"/>
  <c r="GW103" i="7"/>
  <c r="GV103" i="7"/>
  <c r="GU103" i="7"/>
  <c r="GT103" i="7"/>
  <c r="GS103" i="7"/>
  <c r="GR103" i="7"/>
  <c r="GQ103" i="7"/>
  <c r="GP103" i="7"/>
  <c r="GO103" i="7"/>
  <c r="GN103" i="7"/>
  <c r="GM103" i="7"/>
  <c r="GL103" i="7"/>
  <c r="GK103" i="7"/>
  <c r="GJ103" i="7"/>
  <c r="GI103" i="7"/>
  <c r="GH103" i="7"/>
  <c r="GG103" i="7"/>
  <c r="GF103" i="7"/>
  <c r="GE103" i="7"/>
  <c r="GD103" i="7"/>
  <c r="GC103" i="7"/>
  <c r="GB103" i="7"/>
  <c r="GA103" i="7"/>
  <c r="FZ103" i="7"/>
  <c r="FY103" i="7"/>
  <c r="FX103" i="7"/>
  <c r="FW103" i="7"/>
  <c r="FV103" i="7"/>
  <c r="FU103" i="7"/>
  <c r="FT103" i="7"/>
  <c r="FS103" i="7"/>
  <c r="FR103" i="7"/>
  <c r="FQ103" i="7"/>
  <c r="FP103" i="7"/>
  <c r="FO103" i="7"/>
  <c r="FN103" i="7"/>
  <c r="FM103" i="7"/>
  <c r="FL103" i="7"/>
  <c r="FK103" i="7"/>
  <c r="FJ103" i="7"/>
  <c r="FI103" i="7"/>
  <c r="FH103" i="7"/>
  <c r="FG103" i="7"/>
  <c r="FF103" i="7"/>
  <c r="FE103" i="7"/>
  <c r="FD103" i="7"/>
  <c r="FC103" i="7"/>
  <c r="FB103" i="7"/>
  <c r="FA103" i="7"/>
  <c r="EZ103" i="7"/>
  <c r="EY103" i="7"/>
  <c r="EX103" i="7"/>
  <c r="EW103" i="7"/>
  <c r="EV103" i="7"/>
  <c r="EU103" i="7"/>
  <c r="ET103" i="7"/>
  <c r="ES103" i="7"/>
  <c r="ER103" i="7"/>
  <c r="EQ103" i="7"/>
  <c r="EP103" i="7"/>
  <c r="EO103" i="7"/>
  <c r="EN103" i="7"/>
  <c r="EM103" i="7"/>
  <c r="EL103" i="7"/>
  <c r="EK103" i="7"/>
  <c r="EJ103" i="7"/>
  <c r="EI103" i="7"/>
  <c r="EH103" i="7"/>
  <c r="EG103" i="7"/>
  <c r="EF103" i="7"/>
  <c r="EE103" i="7"/>
  <c r="ED103" i="7"/>
  <c r="EC103" i="7"/>
  <c r="EB103" i="7"/>
  <c r="EA103" i="7"/>
  <c r="DZ103" i="7"/>
  <c r="DY103" i="7"/>
  <c r="DX103" i="7"/>
  <c r="DW103" i="7"/>
  <c r="DV103" i="7"/>
  <c r="DU103" i="7"/>
  <c r="DT103" i="7"/>
  <c r="DS103" i="7"/>
  <c r="DR103" i="7"/>
  <c r="DQ103" i="7"/>
  <c r="DP103" i="7"/>
  <c r="DO103" i="7"/>
  <c r="DN103" i="7"/>
  <c r="DM103" i="7"/>
  <c r="DL103" i="7"/>
  <c r="DK103" i="7"/>
  <c r="DJ103" i="7"/>
  <c r="DI103" i="7"/>
  <c r="DH103" i="7"/>
  <c r="DG103" i="7"/>
  <c r="DF103" i="7"/>
  <c r="DE103" i="7"/>
  <c r="DD103" i="7"/>
  <c r="DC103" i="7"/>
  <c r="DB103" i="7"/>
  <c r="DA103" i="7"/>
  <c r="CZ103" i="7"/>
  <c r="CY103" i="7"/>
  <c r="CX103" i="7"/>
  <c r="CW103" i="7"/>
  <c r="CV103" i="7"/>
  <c r="CU103" i="7"/>
  <c r="CT103" i="7"/>
  <c r="CS103" i="7"/>
  <c r="CR103" i="7"/>
  <c r="CQ103" i="7"/>
  <c r="CP103" i="7"/>
  <c r="CO103" i="7"/>
  <c r="CN103" i="7"/>
  <c r="CM103" i="7"/>
  <c r="CL103" i="7"/>
  <c r="CK103" i="7"/>
  <c r="CJ103" i="7"/>
  <c r="CI103" i="7"/>
  <c r="CH103" i="7"/>
  <c r="CG103" i="7"/>
  <c r="CF103" i="7"/>
  <c r="CE103" i="7"/>
  <c r="CD103" i="7"/>
  <c r="CC103" i="7"/>
  <c r="CB103" i="7"/>
  <c r="CA103" i="7"/>
  <c r="BZ103" i="7"/>
  <c r="BY103" i="7"/>
  <c r="BX103" i="7"/>
  <c r="BW103" i="7"/>
  <c r="BV103" i="7"/>
  <c r="BU103" i="7"/>
  <c r="BT103" i="7"/>
  <c r="BS103" i="7"/>
  <c r="BR103" i="7"/>
  <c r="BQ103" i="7"/>
  <c r="BP103" i="7"/>
  <c r="BO103" i="7"/>
  <c r="BN103" i="7"/>
  <c r="BM103" i="7"/>
  <c r="BL103" i="7"/>
  <c r="BK103" i="7"/>
  <c r="BJ103" i="7"/>
  <c r="BI103" i="7"/>
  <c r="BH103" i="7"/>
  <c r="BG103" i="7"/>
  <c r="BF103" i="7"/>
  <c r="BE103" i="7"/>
  <c r="BD103" i="7"/>
  <c r="BC103" i="7"/>
  <c r="BB103" i="7"/>
  <c r="BA103" i="7"/>
  <c r="AZ103" i="7"/>
  <c r="AY103" i="7"/>
  <c r="AX103" i="7"/>
  <c r="AW103" i="7"/>
  <c r="AV103" i="7"/>
  <c r="AU103" i="7"/>
  <c r="AT103" i="7"/>
  <c r="AS103" i="7"/>
  <c r="AR103" i="7"/>
  <c r="AQ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R103" i="7"/>
  <c r="Q103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C103" i="7"/>
  <c r="B103" i="7"/>
  <c r="A103" i="7"/>
  <c r="IV102" i="7"/>
  <c r="IU102" i="7"/>
  <c r="IT102" i="7"/>
  <c r="IS102" i="7"/>
  <c r="IR102" i="7"/>
  <c r="IQ102" i="7"/>
  <c r="IP102" i="7"/>
  <c r="IO102" i="7"/>
  <c r="IN102" i="7"/>
  <c r="IM102" i="7"/>
  <c r="IL102" i="7"/>
  <c r="IK102" i="7"/>
  <c r="IJ102" i="7"/>
  <c r="II102" i="7"/>
  <c r="IH102" i="7"/>
  <c r="IG102" i="7"/>
  <c r="IF102" i="7"/>
  <c r="IE102" i="7"/>
  <c r="ID102" i="7"/>
  <c r="IC102" i="7"/>
  <c r="IB102" i="7"/>
  <c r="IA102" i="7"/>
  <c r="HZ102" i="7"/>
  <c r="HY102" i="7"/>
  <c r="HX102" i="7"/>
  <c r="HW102" i="7"/>
  <c r="HV102" i="7"/>
  <c r="HU102" i="7"/>
  <c r="HT102" i="7"/>
  <c r="HS102" i="7"/>
  <c r="HR102" i="7"/>
  <c r="HQ102" i="7"/>
  <c r="HP102" i="7"/>
  <c r="HO102" i="7"/>
  <c r="HN102" i="7"/>
  <c r="HM102" i="7"/>
  <c r="HL102" i="7"/>
  <c r="HK102" i="7"/>
  <c r="HJ102" i="7"/>
  <c r="HI102" i="7"/>
  <c r="HH102" i="7"/>
  <c r="HG102" i="7"/>
  <c r="HF102" i="7"/>
  <c r="HE102" i="7"/>
  <c r="HD102" i="7"/>
  <c r="HC102" i="7"/>
  <c r="HB102" i="7"/>
  <c r="HA102" i="7"/>
  <c r="GZ102" i="7"/>
  <c r="GY102" i="7"/>
  <c r="GX102" i="7"/>
  <c r="GW102" i="7"/>
  <c r="GV102" i="7"/>
  <c r="GU102" i="7"/>
  <c r="GT102" i="7"/>
  <c r="GS102" i="7"/>
  <c r="GR102" i="7"/>
  <c r="GQ102" i="7"/>
  <c r="GP102" i="7"/>
  <c r="GO102" i="7"/>
  <c r="GN102" i="7"/>
  <c r="GM102" i="7"/>
  <c r="GL102" i="7"/>
  <c r="GK102" i="7"/>
  <c r="GJ102" i="7"/>
  <c r="GI102" i="7"/>
  <c r="GH102" i="7"/>
  <c r="GG102" i="7"/>
  <c r="GF102" i="7"/>
  <c r="GE102" i="7"/>
  <c r="GD102" i="7"/>
  <c r="GC102" i="7"/>
  <c r="GB102" i="7"/>
  <c r="GA102" i="7"/>
  <c r="FZ102" i="7"/>
  <c r="FY102" i="7"/>
  <c r="FX102" i="7"/>
  <c r="FW102" i="7"/>
  <c r="FV102" i="7"/>
  <c r="FU102" i="7"/>
  <c r="FT102" i="7"/>
  <c r="FS102" i="7"/>
  <c r="FR102" i="7"/>
  <c r="FQ102" i="7"/>
  <c r="FP102" i="7"/>
  <c r="FO102" i="7"/>
  <c r="FN102" i="7"/>
  <c r="FM102" i="7"/>
  <c r="FL102" i="7"/>
  <c r="FK102" i="7"/>
  <c r="FJ102" i="7"/>
  <c r="FI102" i="7"/>
  <c r="FH102" i="7"/>
  <c r="FG102" i="7"/>
  <c r="FF102" i="7"/>
  <c r="FE102" i="7"/>
  <c r="FD102" i="7"/>
  <c r="FC102" i="7"/>
  <c r="FB102" i="7"/>
  <c r="FA102" i="7"/>
  <c r="EZ102" i="7"/>
  <c r="EY102" i="7"/>
  <c r="EX102" i="7"/>
  <c r="EW102" i="7"/>
  <c r="EV102" i="7"/>
  <c r="EU102" i="7"/>
  <c r="ET102" i="7"/>
  <c r="ES102" i="7"/>
  <c r="ER102" i="7"/>
  <c r="EQ102" i="7"/>
  <c r="EP102" i="7"/>
  <c r="EO102" i="7"/>
  <c r="EN102" i="7"/>
  <c r="EM102" i="7"/>
  <c r="EL102" i="7"/>
  <c r="EK102" i="7"/>
  <c r="EJ102" i="7"/>
  <c r="EI102" i="7"/>
  <c r="EH102" i="7"/>
  <c r="EG102" i="7"/>
  <c r="EF102" i="7"/>
  <c r="EE102" i="7"/>
  <c r="ED102" i="7"/>
  <c r="EC102" i="7"/>
  <c r="EB102" i="7"/>
  <c r="EA102" i="7"/>
  <c r="DZ102" i="7"/>
  <c r="DY102" i="7"/>
  <c r="DX102" i="7"/>
  <c r="DW102" i="7"/>
  <c r="DV102" i="7"/>
  <c r="DU102" i="7"/>
  <c r="DT102" i="7"/>
  <c r="DS102" i="7"/>
  <c r="DR102" i="7"/>
  <c r="DQ102" i="7"/>
  <c r="DP102" i="7"/>
  <c r="DO102" i="7"/>
  <c r="DN102" i="7"/>
  <c r="DM102" i="7"/>
  <c r="DL102" i="7"/>
  <c r="DK102" i="7"/>
  <c r="DJ102" i="7"/>
  <c r="DI102" i="7"/>
  <c r="DH102" i="7"/>
  <c r="DG102" i="7"/>
  <c r="DF102" i="7"/>
  <c r="DE102" i="7"/>
  <c r="DD102" i="7"/>
  <c r="DC102" i="7"/>
  <c r="DB102" i="7"/>
  <c r="DA102" i="7"/>
  <c r="CZ102" i="7"/>
  <c r="CY102" i="7"/>
  <c r="CX102" i="7"/>
  <c r="CW102" i="7"/>
  <c r="CV102" i="7"/>
  <c r="CU102" i="7"/>
  <c r="CT102" i="7"/>
  <c r="CS102" i="7"/>
  <c r="CR102" i="7"/>
  <c r="CQ102" i="7"/>
  <c r="CP102" i="7"/>
  <c r="CO102" i="7"/>
  <c r="CN102" i="7"/>
  <c r="CM102" i="7"/>
  <c r="CL102" i="7"/>
  <c r="CK102" i="7"/>
  <c r="CJ102" i="7"/>
  <c r="CI102" i="7"/>
  <c r="CH102" i="7"/>
  <c r="CG102" i="7"/>
  <c r="CF102" i="7"/>
  <c r="CE102" i="7"/>
  <c r="CD102" i="7"/>
  <c r="CC102" i="7"/>
  <c r="CB102" i="7"/>
  <c r="CA102" i="7"/>
  <c r="BZ102" i="7"/>
  <c r="BY102" i="7"/>
  <c r="BX102" i="7"/>
  <c r="BW102" i="7"/>
  <c r="BV102" i="7"/>
  <c r="BU102" i="7"/>
  <c r="BT102" i="7"/>
  <c r="BS102" i="7"/>
  <c r="BR102" i="7"/>
  <c r="BQ102" i="7"/>
  <c r="BP102" i="7"/>
  <c r="BO102" i="7"/>
  <c r="BN102" i="7"/>
  <c r="BM102" i="7"/>
  <c r="BL102" i="7"/>
  <c r="BK102" i="7"/>
  <c r="BJ102" i="7"/>
  <c r="BI102" i="7"/>
  <c r="BH102" i="7"/>
  <c r="BG102" i="7"/>
  <c r="BF102" i="7"/>
  <c r="BE102" i="7"/>
  <c r="BD102" i="7"/>
  <c r="BC102" i="7"/>
  <c r="BB102" i="7"/>
  <c r="BA102" i="7"/>
  <c r="AZ102" i="7"/>
  <c r="AY102" i="7"/>
  <c r="AX102" i="7"/>
  <c r="AW102" i="7"/>
  <c r="AV102" i="7"/>
  <c r="AU102" i="7"/>
  <c r="AT102" i="7"/>
  <c r="AS102" i="7"/>
  <c r="AR102" i="7"/>
  <c r="AQ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102" i="7"/>
  <c r="IV101" i="7"/>
  <c r="IU101" i="7"/>
  <c r="IT101" i="7"/>
  <c r="IS101" i="7"/>
  <c r="IR101" i="7"/>
  <c r="IQ101" i="7"/>
  <c r="IP101" i="7"/>
  <c r="IO101" i="7"/>
  <c r="IN101" i="7"/>
  <c r="IM101" i="7"/>
  <c r="IL101" i="7"/>
  <c r="IK101" i="7"/>
  <c r="IJ101" i="7"/>
  <c r="II101" i="7"/>
  <c r="IH101" i="7"/>
  <c r="IG101" i="7"/>
  <c r="IF101" i="7"/>
  <c r="IE101" i="7"/>
  <c r="ID101" i="7"/>
  <c r="IC101" i="7"/>
  <c r="IB101" i="7"/>
  <c r="IA101" i="7"/>
  <c r="HZ101" i="7"/>
  <c r="HY101" i="7"/>
  <c r="HX101" i="7"/>
  <c r="HW101" i="7"/>
  <c r="HV101" i="7"/>
  <c r="HU101" i="7"/>
  <c r="HT101" i="7"/>
  <c r="HS101" i="7"/>
  <c r="HR101" i="7"/>
  <c r="HQ101" i="7"/>
  <c r="HP101" i="7"/>
  <c r="HO101" i="7"/>
  <c r="HN101" i="7"/>
  <c r="HM101" i="7"/>
  <c r="HL101" i="7"/>
  <c r="HK101" i="7"/>
  <c r="HJ101" i="7"/>
  <c r="HI101" i="7"/>
  <c r="HH101" i="7"/>
  <c r="HG101" i="7"/>
  <c r="HF101" i="7"/>
  <c r="HE101" i="7"/>
  <c r="HD101" i="7"/>
  <c r="HC101" i="7"/>
  <c r="HB101" i="7"/>
  <c r="HA101" i="7"/>
  <c r="GZ101" i="7"/>
  <c r="GY101" i="7"/>
  <c r="GX101" i="7"/>
  <c r="GW101" i="7"/>
  <c r="GV101" i="7"/>
  <c r="GU101" i="7"/>
  <c r="GT101" i="7"/>
  <c r="GS101" i="7"/>
  <c r="GR101" i="7"/>
  <c r="GQ101" i="7"/>
  <c r="GP101" i="7"/>
  <c r="GO101" i="7"/>
  <c r="GN101" i="7"/>
  <c r="GM101" i="7"/>
  <c r="GL101" i="7"/>
  <c r="GK101" i="7"/>
  <c r="GJ101" i="7"/>
  <c r="GI101" i="7"/>
  <c r="GH101" i="7"/>
  <c r="GG101" i="7"/>
  <c r="GF101" i="7"/>
  <c r="GE101" i="7"/>
  <c r="GD101" i="7"/>
  <c r="GC101" i="7"/>
  <c r="GB101" i="7"/>
  <c r="GA101" i="7"/>
  <c r="FZ101" i="7"/>
  <c r="FY101" i="7"/>
  <c r="FX101" i="7"/>
  <c r="FW101" i="7"/>
  <c r="FV101" i="7"/>
  <c r="FU101" i="7"/>
  <c r="FT101" i="7"/>
  <c r="FS101" i="7"/>
  <c r="FR101" i="7"/>
  <c r="FQ101" i="7"/>
  <c r="FP101" i="7"/>
  <c r="FO101" i="7"/>
  <c r="FN101" i="7"/>
  <c r="FM101" i="7"/>
  <c r="FL101" i="7"/>
  <c r="FK101" i="7"/>
  <c r="FJ101" i="7"/>
  <c r="FI101" i="7"/>
  <c r="FH101" i="7"/>
  <c r="FG101" i="7"/>
  <c r="FF101" i="7"/>
  <c r="FE101" i="7"/>
  <c r="FD101" i="7"/>
  <c r="FC101" i="7"/>
  <c r="FB101" i="7"/>
  <c r="FA101" i="7"/>
  <c r="EZ101" i="7"/>
  <c r="EY101" i="7"/>
  <c r="EX101" i="7"/>
  <c r="EW101" i="7"/>
  <c r="EV101" i="7"/>
  <c r="EU101" i="7"/>
  <c r="ET101" i="7"/>
  <c r="ES101" i="7"/>
  <c r="ER101" i="7"/>
  <c r="EQ101" i="7"/>
  <c r="EP101" i="7"/>
  <c r="EO101" i="7"/>
  <c r="EN101" i="7"/>
  <c r="EM101" i="7"/>
  <c r="EL101" i="7"/>
  <c r="EK101" i="7"/>
  <c r="EJ101" i="7"/>
  <c r="EI101" i="7"/>
  <c r="EH101" i="7"/>
  <c r="EG101" i="7"/>
  <c r="EF101" i="7"/>
  <c r="EE101" i="7"/>
  <c r="ED101" i="7"/>
  <c r="EC101" i="7"/>
  <c r="EB101" i="7"/>
  <c r="EA101" i="7"/>
  <c r="DZ101" i="7"/>
  <c r="DY101" i="7"/>
  <c r="DX101" i="7"/>
  <c r="DW101" i="7"/>
  <c r="DV101" i="7"/>
  <c r="DU101" i="7"/>
  <c r="DT101" i="7"/>
  <c r="DS101" i="7"/>
  <c r="DR101" i="7"/>
  <c r="DQ101" i="7"/>
  <c r="DP101" i="7"/>
  <c r="DO101" i="7"/>
  <c r="DN101" i="7"/>
  <c r="DM101" i="7"/>
  <c r="DL101" i="7"/>
  <c r="DK101" i="7"/>
  <c r="DJ101" i="7"/>
  <c r="DI101" i="7"/>
  <c r="DH101" i="7"/>
  <c r="DG101" i="7"/>
  <c r="DF101" i="7"/>
  <c r="DE101" i="7"/>
  <c r="DD101" i="7"/>
  <c r="DC101" i="7"/>
  <c r="DB101" i="7"/>
  <c r="DA101" i="7"/>
  <c r="CZ101" i="7"/>
  <c r="CY101" i="7"/>
  <c r="CX101" i="7"/>
  <c r="CW101" i="7"/>
  <c r="CV101" i="7"/>
  <c r="CU101" i="7"/>
  <c r="CT101" i="7"/>
  <c r="CS101" i="7"/>
  <c r="CR101" i="7"/>
  <c r="CQ101" i="7"/>
  <c r="CP101" i="7"/>
  <c r="CO101" i="7"/>
  <c r="CN101" i="7"/>
  <c r="CM101" i="7"/>
  <c r="CL101" i="7"/>
  <c r="CK101" i="7"/>
  <c r="CJ101" i="7"/>
  <c r="CI101" i="7"/>
  <c r="CH101" i="7"/>
  <c r="CG101" i="7"/>
  <c r="CF101" i="7"/>
  <c r="CE101" i="7"/>
  <c r="CD101" i="7"/>
  <c r="CC101" i="7"/>
  <c r="CB101" i="7"/>
  <c r="CA101" i="7"/>
  <c r="BZ101" i="7"/>
  <c r="BY101" i="7"/>
  <c r="BX101" i="7"/>
  <c r="BW101" i="7"/>
  <c r="BV101" i="7"/>
  <c r="BU101" i="7"/>
  <c r="BT101" i="7"/>
  <c r="BS101" i="7"/>
  <c r="BR101" i="7"/>
  <c r="BQ101" i="7"/>
  <c r="BP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C101" i="7"/>
  <c r="B101" i="7"/>
  <c r="A101" i="7"/>
  <c r="IV100" i="7"/>
  <c r="IU100" i="7"/>
  <c r="IT100" i="7"/>
  <c r="IS100" i="7"/>
  <c r="IR100" i="7"/>
  <c r="IQ100" i="7"/>
  <c r="IP100" i="7"/>
  <c r="IO100" i="7"/>
  <c r="IN100" i="7"/>
  <c r="IM100" i="7"/>
  <c r="IL100" i="7"/>
  <c r="IK100" i="7"/>
  <c r="IJ100" i="7"/>
  <c r="II100" i="7"/>
  <c r="IH100" i="7"/>
  <c r="IG100" i="7"/>
  <c r="IF100" i="7"/>
  <c r="IE100" i="7"/>
  <c r="ID100" i="7"/>
  <c r="IC100" i="7"/>
  <c r="IB100" i="7"/>
  <c r="IA100" i="7"/>
  <c r="HZ100" i="7"/>
  <c r="HY100" i="7"/>
  <c r="HX100" i="7"/>
  <c r="HW100" i="7"/>
  <c r="HV100" i="7"/>
  <c r="HU100" i="7"/>
  <c r="HT100" i="7"/>
  <c r="HS100" i="7"/>
  <c r="HR100" i="7"/>
  <c r="HQ100" i="7"/>
  <c r="HP100" i="7"/>
  <c r="HO100" i="7"/>
  <c r="HN100" i="7"/>
  <c r="HM100" i="7"/>
  <c r="HL100" i="7"/>
  <c r="HK100" i="7"/>
  <c r="HJ100" i="7"/>
  <c r="HI100" i="7"/>
  <c r="HH100" i="7"/>
  <c r="HG100" i="7"/>
  <c r="HF100" i="7"/>
  <c r="HE100" i="7"/>
  <c r="HD100" i="7"/>
  <c r="HC100" i="7"/>
  <c r="HB100" i="7"/>
  <c r="HA100" i="7"/>
  <c r="GZ100" i="7"/>
  <c r="GY100" i="7"/>
  <c r="GX100" i="7"/>
  <c r="GW100" i="7"/>
  <c r="GV100" i="7"/>
  <c r="GU100" i="7"/>
  <c r="GT100" i="7"/>
  <c r="GS100" i="7"/>
  <c r="GR100" i="7"/>
  <c r="GQ100" i="7"/>
  <c r="GP100" i="7"/>
  <c r="GO100" i="7"/>
  <c r="GN100" i="7"/>
  <c r="GM100" i="7"/>
  <c r="GL100" i="7"/>
  <c r="GK100" i="7"/>
  <c r="GJ100" i="7"/>
  <c r="GI100" i="7"/>
  <c r="GH100" i="7"/>
  <c r="GG100" i="7"/>
  <c r="GF100" i="7"/>
  <c r="GE100" i="7"/>
  <c r="GD100" i="7"/>
  <c r="GC100" i="7"/>
  <c r="GB100" i="7"/>
  <c r="GA100" i="7"/>
  <c r="FZ100" i="7"/>
  <c r="FY100" i="7"/>
  <c r="FX100" i="7"/>
  <c r="FW100" i="7"/>
  <c r="FV100" i="7"/>
  <c r="FU100" i="7"/>
  <c r="FT100" i="7"/>
  <c r="FS100" i="7"/>
  <c r="FR100" i="7"/>
  <c r="FQ100" i="7"/>
  <c r="FP100" i="7"/>
  <c r="FO100" i="7"/>
  <c r="FN100" i="7"/>
  <c r="FM100" i="7"/>
  <c r="FL100" i="7"/>
  <c r="FK100" i="7"/>
  <c r="FJ100" i="7"/>
  <c r="FI100" i="7"/>
  <c r="FH100" i="7"/>
  <c r="FG100" i="7"/>
  <c r="FF100" i="7"/>
  <c r="FE100" i="7"/>
  <c r="FD100" i="7"/>
  <c r="FC100" i="7"/>
  <c r="FB100" i="7"/>
  <c r="FA100" i="7"/>
  <c r="EZ100" i="7"/>
  <c r="EY100" i="7"/>
  <c r="EX100" i="7"/>
  <c r="EW100" i="7"/>
  <c r="EV100" i="7"/>
  <c r="EU100" i="7"/>
  <c r="ET100" i="7"/>
  <c r="ES100" i="7"/>
  <c r="ER100" i="7"/>
  <c r="EQ100" i="7"/>
  <c r="EP100" i="7"/>
  <c r="EO100" i="7"/>
  <c r="EN100" i="7"/>
  <c r="EM100" i="7"/>
  <c r="EL100" i="7"/>
  <c r="EK100" i="7"/>
  <c r="EJ100" i="7"/>
  <c r="EI100" i="7"/>
  <c r="EH100" i="7"/>
  <c r="EG100" i="7"/>
  <c r="EF100" i="7"/>
  <c r="EE100" i="7"/>
  <c r="ED100" i="7"/>
  <c r="EC100" i="7"/>
  <c r="EB100" i="7"/>
  <c r="EA100" i="7"/>
  <c r="DZ100" i="7"/>
  <c r="DY100" i="7"/>
  <c r="DX100" i="7"/>
  <c r="DW100" i="7"/>
  <c r="DV100" i="7"/>
  <c r="DU100" i="7"/>
  <c r="DT100" i="7"/>
  <c r="DS100" i="7"/>
  <c r="DR100" i="7"/>
  <c r="DQ100" i="7"/>
  <c r="DP100" i="7"/>
  <c r="DO100" i="7"/>
  <c r="DN100" i="7"/>
  <c r="DM100" i="7"/>
  <c r="DL100" i="7"/>
  <c r="DK100" i="7"/>
  <c r="DJ100" i="7"/>
  <c r="DI100" i="7"/>
  <c r="DH100" i="7"/>
  <c r="DG100" i="7"/>
  <c r="DF100" i="7"/>
  <c r="DE100" i="7"/>
  <c r="DD100" i="7"/>
  <c r="DC100" i="7"/>
  <c r="DB100" i="7"/>
  <c r="DA100" i="7"/>
  <c r="CZ100" i="7"/>
  <c r="CY100" i="7"/>
  <c r="CX100" i="7"/>
  <c r="CW100" i="7"/>
  <c r="CV100" i="7"/>
  <c r="CU100" i="7"/>
  <c r="CT100" i="7"/>
  <c r="CS100" i="7"/>
  <c r="CR100" i="7"/>
  <c r="CQ100" i="7"/>
  <c r="CP100" i="7"/>
  <c r="CO100" i="7"/>
  <c r="CN100" i="7"/>
  <c r="CM100" i="7"/>
  <c r="CL100" i="7"/>
  <c r="CK100" i="7"/>
  <c r="CJ100" i="7"/>
  <c r="CI100" i="7"/>
  <c r="CH100" i="7"/>
  <c r="CG100" i="7"/>
  <c r="CF100" i="7"/>
  <c r="CE100" i="7"/>
  <c r="CD100" i="7"/>
  <c r="CC100" i="7"/>
  <c r="CB100" i="7"/>
  <c r="CA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C100" i="7"/>
  <c r="B100" i="7"/>
  <c r="A100" i="7"/>
  <c r="IV99" i="7"/>
  <c r="IU99" i="7"/>
  <c r="IT99" i="7"/>
  <c r="IS99" i="7"/>
  <c r="IR99" i="7"/>
  <c r="IQ99" i="7"/>
  <c r="IP99" i="7"/>
  <c r="IO99" i="7"/>
  <c r="IN99" i="7"/>
  <c r="IM99" i="7"/>
  <c r="IL99" i="7"/>
  <c r="IK99" i="7"/>
  <c r="IJ99" i="7"/>
  <c r="II99" i="7"/>
  <c r="IH99" i="7"/>
  <c r="IG99" i="7"/>
  <c r="IF99" i="7"/>
  <c r="IE99" i="7"/>
  <c r="ID99" i="7"/>
  <c r="IC99" i="7"/>
  <c r="IB99" i="7"/>
  <c r="IA99" i="7"/>
  <c r="HZ99" i="7"/>
  <c r="HY99" i="7"/>
  <c r="HX99" i="7"/>
  <c r="HW99" i="7"/>
  <c r="HV99" i="7"/>
  <c r="HU99" i="7"/>
  <c r="HT99" i="7"/>
  <c r="HS99" i="7"/>
  <c r="HR99" i="7"/>
  <c r="HQ99" i="7"/>
  <c r="HP99" i="7"/>
  <c r="HO99" i="7"/>
  <c r="HN99" i="7"/>
  <c r="HM99" i="7"/>
  <c r="HL99" i="7"/>
  <c r="HK99" i="7"/>
  <c r="HJ99" i="7"/>
  <c r="HI99" i="7"/>
  <c r="HH99" i="7"/>
  <c r="HG99" i="7"/>
  <c r="HF99" i="7"/>
  <c r="HE99" i="7"/>
  <c r="HD99" i="7"/>
  <c r="HC99" i="7"/>
  <c r="HB99" i="7"/>
  <c r="HA99" i="7"/>
  <c r="GZ99" i="7"/>
  <c r="GY99" i="7"/>
  <c r="GX99" i="7"/>
  <c r="GW99" i="7"/>
  <c r="GV99" i="7"/>
  <c r="GU99" i="7"/>
  <c r="GT99" i="7"/>
  <c r="GS99" i="7"/>
  <c r="GR99" i="7"/>
  <c r="GQ99" i="7"/>
  <c r="GP99" i="7"/>
  <c r="GO99" i="7"/>
  <c r="GN99" i="7"/>
  <c r="GM99" i="7"/>
  <c r="GL99" i="7"/>
  <c r="GK99" i="7"/>
  <c r="GJ99" i="7"/>
  <c r="GI99" i="7"/>
  <c r="GH99" i="7"/>
  <c r="GG99" i="7"/>
  <c r="GF99" i="7"/>
  <c r="GE99" i="7"/>
  <c r="GD99" i="7"/>
  <c r="GC99" i="7"/>
  <c r="GB99" i="7"/>
  <c r="GA99" i="7"/>
  <c r="FZ99" i="7"/>
  <c r="FY99" i="7"/>
  <c r="FX99" i="7"/>
  <c r="FW99" i="7"/>
  <c r="FV99" i="7"/>
  <c r="FU99" i="7"/>
  <c r="FT99" i="7"/>
  <c r="FS99" i="7"/>
  <c r="FR99" i="7"/>
  <c r="FQ99" i="7"/>
  <c r="FP99" i="7"/>
  <c r="FO99" i="7"/>
  <c r="FN99" i="7"/>
  <c r="FM99" i="7"/>
  <c r="FL99" i="7"/>
  <c r="FK99" i="7"/>
  <c r="FJ99" i="7"/>
  <c r="FI99" i="7"/>
  <c r="FH99" i="7"/>
  <c r="FG99" i="7"/>
  <c r="FF99" i="7"/>
  <c r="FE99" i="7"/>
  <c r="FD99" i="7"/>
  <c r="FC99" i="7"/>
  <c r="FB99" i="7"/>
  <c r="FA99" i="7"/>
  <c r="EZ99" i="7"/>
  <c r="EY99" i="7"/>
  <c r="EX99" i="7"/>
  <c r="EW99" i="7"/>
  <c r="EV99" i="7"/>
  <c r="EU99" i="7"/>
  <c r="ET99" i="7"/>
  <c r="ES99" i="7"/>
  <c r="ER99" i="7"/>
  <c r="EQ99" i="7"/>
  <c r="EP99" i="7"/>
  <c r="EO99" i="7"/>
  <c r="EN99" i="7"/>
  <c r="EM99" i="7"/>
  <c r="EL99" i="7"/>
  <c r="EK99" i="7"/>
  <c r="EJ99" i="7"/>
  <c r="EI99" i="7"/>
  <c r="EH99" i="7"/>
  <c r="EG99" i="7"/>
  <c r="EF99" i="7"/>
  <c r="EE99" i="7"/>
  <c r="ED99" i="7"/>
  <c r="EC99" i="7"/>
  <c r="EB99" i="7"/>
  <c r="EA99" i="7"/>
  <c r="DZ99" i="7"/>
  <c r="DY99" i="7"/>
  <c r="DX99" i="7"/>
  <c r="DW99" i="7"/>
  <c r="DV99" i="7"/>
  <c r="DU99" i="7"/>
  <c r="DT99" i="7"/>
  <c r="DS99" i="7"/>
  <c r="DR99" i="7"/>
  <c r="DQ99" i="7"/>
  <c r="DP99" i="7"/>
  <c r="DO99" i="7"/>
  <c r="DN99" i="7"/>
  <c r="DM99" i="7"/>
  <c r="DL99" i="7"/>
  <c r="DK99" i="7"/>
  <c r="DJ99" i="7"/>
  <c r="DI99" i="7"/>
  <c r="DH99" i="7"/>
  <c r="DG99" i="7"/>
  <c r="DF99" i="7"/>
  <c r="DE99" i="7"/>
  <c r="DD99" i="7"/>
  <c r="DC99" i="7"/>
  <c r="DB99" i="7"/>
  <c r="DA99" i="7"/>
  <c r="CZ99" i="7"/>
  <c r="CY99" i="7"/>
  <c r="CX99" i="7"/>
  <c r="CW99" i="7"/>
  <c r="CV99" i="7"/>
  <c r="CU99" i="7"/>
  <c r="CT99" i="7"/>
  <c r="CS99" i="7"/>
  <c r="CR99" i="7"/>
  <c r="CQ99" i="7"/>
  <c r="CP99" i="7"/>
  <c r="CO99" i="7"/>
  <c r="CN99" i="7"/>
  <c r="CM99" i="7"/>
  <c r="CL99" i="7"/>
  <c r="CK99" i="7"/>
  <c r="CJ99" i="7"/>
  <c r="CI99" i="7"/>
  <c r="CH99" i="7"/>
  <c r="CG99" i="7"/>
  <c r="CF99" i="7"/>
  <c r="CE99" i="7"/>
  <c r="CD99" i="7"/>
  <c r="CC99" i="7"/>
  <c r="CB99" i="7"/>
  <c r="CA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BN99" i="7"/>
  <c r="BM99" i="7"/>
  <c r="BL99" i="7"/>
  <c r="BK99" i="7"/>
  <c r="BJ99" i="7"/>
  <c r="BI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R99" i="7"/>
  <c r="AQ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Z99" i="7"/>
  <c r="Y99" i="7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C99" i="7"/>
  <c r="B99" i="7"/>
  <c r="A99" i="7"/>
  <c r="IV98" i="7"/>
  <c r="IU98" i="7"/>
  <c r="IT98" i="7"/>
  <c r="IS98" i="7"/>
  <c r="IR98" i="7"/>
  <c r="IQ98" i="7"/>
  <c r="IP98" i="7"/>
  <c r="IO98" i="7"/>
  <c r="IN98" i="7"/>
  <c r="IM98" i="7"/>
  <c r="IL98" i="7"/>
  <c r="IK98" i="7"/>
  <c r="IJ98" i="7"/>
  <c r="II98" i="7"/>
  <c r="IH98" i="7"/>
  <c r="IG98" i="7"/>
  <c r="IF98" i="7"/>
  <c r="IE98" i="7"/>
  <c r="ID98" i="7"/>
  <c r="IC98" i="7"/>
  <c r="IB98" i="7"/>
  <c r="IA98" i="7"/>
  <c r="HZ98" i="7"/>
  <c r="HY98" i="7"/>
  <c r="HX98" i="7"/>
  <c r="HW98" i="7"/>
  <c r="HV98" i="7"/>
  <c r="HU98" i="7"/>
  <c r="HT98" i="7"/>
  <c r="HS98" i="7"/>
  <c r="HR98" i="7"/>
  <c r="HQ98" i="7"/>
  <c r="HP98" i="7"/>
  <c r="HO98" i="7"/>
  <c r="HN98" i="7"/>
  <c r="HM98" i="7"/>
  <c r="HL98" i="7"/>
  <c r="HK98" i="7"/>
  <c r="HJ98" i="7"/>
  <c r="HI98" i="7"/>
  <c r="HH98" i="7"/>
  <c r="HG98" i="7"/>
  <c r="HF98" i="7"/>
  <c r="HE98" i="7"/>
  <c r="HD98" i="7"/>
  <c r="HC98" i="7"/>
  <c r="HB98" i="7"/>
  <c r="HA98" i="7"/>
  <c r="GZ98" i="7"/>
  <c r="GY98" i="7"/>
  <c r="GX98" i="7"/>
  <c r="GW98" i="7"/>
  <c r="GV98" i="7"/>
  <c r="GU98" i="7"/>
  <c r="GT98" i="7"/>
  <c r="GS98" i="7"/>
  <c r="GR98" i="7"/>
  <c r="GQ98" i="7"/>
  <c r="GP98" i="7"/>
  <c r="GO98" i="7"/>
  <c r="GN98" i="7"/>
  <c r="GM98" i="7"/>
  <c r="GL98" i="7"/>
  <c r="GK98" i="7"/>
  <c r="GJ98" i="7"/>
  <c r="GI98" i="7"/>
  <c r="GH98" i="7"/>
  <c r="GG98" i="7"/>
  <c r="GF98" i="7"/>
  <c r="GE98" i="7"/>
  <c r="GD98" i="7"/>
  <c r="GC98" i="7"/>
  <c r="GB98" i="7"/>
  <c r="GA98" i="7"/>
  <c r="FZ98" i="7"/>
  <c r="FY98" i="7"/>
  <c r="FX98" i="7"/>
  <c r="FW98" i="7"/>
  <c r="FV98" i="7"/>
  <c r="FU98" i="7"/>
  <c r="FT98" i="7"/>
  <c r="FS98" i="7"/>
  <c r="FR98" i="7"/>
  <c r="FQ98" i="7"/>
  <c r="FP98" i="7"/>
  <c r="FO98" i="7"/>
  <c r="FN98" i="7"/>
  <c r="FM98" i="7"/>
  <c r="FL98" i="7"/>
  <c r="FK98" i="7"/>
  <c r="FJ98" i="7"/>
  <c r="FI98" i="7"/>
  <c r="FH98" i="7"/>
  <c r="FG98" i="7"/>
  <c r="FF98" i="7"/>
  <c r="FE98" i="7"/>
  <c r="FD98" i="7"/>
  <c r="FC98" i="7"/>
  <c r="FB98" i="7"/>
  <c r="FA98" i="7"/>
  <c r="EZ98" i="7"/>
  <c r="EY98" i="7"/>
  <c r="EX98" i="7"/>
  <c r="EW98" i="7"/>
  <c r="EV98" i="7"/>
  <c r="EU98" i="7"/>
  <c r="ET98" i="7"/>
  <c r="ES98" i="7"/>
  <c r="ER98" i="7"/>
  <c r="EQ98" i="7"/>
  <c r="EP98" i="7"/>
  <c r="EO98" i="7"/>
  <c r="EN98" i="7"/>
  <c r="EM98" i="7"/>
  <c r="EL98" i="7"/>
  <c r="EK98" i="7"/>
  <c r="EJ98" i="7"/>
  <c r="EI98" i="7"/>
  <c r="EH98" i="7"/>
  <c r="EG98" i="7"/>
  <c r="EF98" i="7"/>
  <c r="EE98" i="7"/>
  <c r="ED98" i="7"/>
  <c r="EC98" i="7"/>
  <c r="EB98" i="7"/>
  <c r="EA98" i="7"/>
  <c r="DZ98" i="7"/>
  <c r="DY98" i="7"/>
  <c r="DX98" i="7"/>
  <c r="DW98" i="7"/>
  <c r="DV98" i="7"/>
  <c r="DU98" i="7"/>
  <c r="DT98" i="7"/>
  <c r="DS98" i="7"/>
  <c r="DR98" i="7"/>
  <c r="DQ98" i="7"/>
  <c r="DP98" i="7"/>
  <c r="DO98" i="7"/>
  <c r="DN98" i="7"/>
  <c r="DM98" i="7"/>
  <c r="DL98" i="7"/>
  <c r="DK98" i="7"/>
  <c r="DJ98" i="7"/>
  <c r="DI98" i="7"/>
  <c r="DH98" i="7"/>
  <c r="DG98" i="7"/>
  <c r="DF98" i="7"/>
  <c r="DE98" i="7"/>
  <c r="DD98" i="7"/>
  <c r="DC98" i="7"/>
  <c r="DB98" i="7"/>
  <c r="DA98" i="7"/>
  <c r="CZ98" i="7"/>
  <c r="CY98" i="7"/>
  <c r="CX98" i="7"/>
  <c r="CW98" i="7"/>
  <c r="CV98" i="7"/>
  <c r="CU98" i="7"/>
  <c r="CT98" i="7"/>
  <c r="CS98" i="7"/>
  <c r="CR98" i="7"/>
  <c r="CQ98" i="7"/>
  <c r="CP98" i="7"/>
  <c r="CO98" i="7"/>
  <c r="CN98" i="7"/>
  <c r="CM98" i="7"/>
  <c r="CL98" i="7"/>
  <c r="CK98" i="7"/>
  <c r="CJ98" i="7"/>
  <c r="CI98" i="7"/>
  <c r="CH98" i="7"/>
  <c r="CG98" i="7"/>
  <c r="CF98" i="7"/>
  <c r="CE98" i="7"/>
  <c r="CD98" i="7"/>
  <c r="CC98" i="7"/>
  <c r="CB98" i="7"/>
  <c r="CA98" i="7"/>
  <c r="BZ98" i="7"/>
  <c r="BY98" i="7"/>
  <c r="BX98" i="7"/>
  <c r="BW98" i="7"/>
  <c r="BV98" i="7"/>
  <c r="BU98" i="7"/>
  <c r="BT98" i="7"/>
  <c r="BS98" i="7"/>
  <c r="BR98" i="7"/>
  <c r="BQ98" i="7"/>
  <c r="BP98" i="7"/>
  <c r="BO98" i="7"/>
  <c r="BN98" i="7"/>
  <c r="BM98" i="7"/>
  <c r="BL98" i="7"/>
  <c r="BK98" i="7"/>
  <c r="BJ98" i="7"/>
  <c r="BI98" i="7"/>
  <c r="BH98" i="7"/>
  <c r="BG98" i="7"/>
  <c r="BF98" i="7"/>
  <c r="BE98" i="7"/>
  <c r="BD98" i="7"/>
  <c r="BC98" i="7"/>
  <c r="BB98" i="7"/>
  <c r="BA98" i="7"/>
  <c r="AZ98" i="7"/>
  <c r="AY98" i="7"/>
  <c r="AX98" i="7"/>
  <c r="AW98" i="7"/>
  <c r="AV98" i="7"/>
  <c r="AU98" i="7"/>
  <c r="AT98" i="7"/>
  <c r="AS98" i="7"/>
  <c r="AR98" i="7"/>
  <c r="AQ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98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C97" i="7"/>
  <c r="B97" i="7"/>
  <c r="A97" i="7"/>
  <c r="IV96" i="7"/>
  <c r="IU96" i="7"/>
  <c r="IT96" i="7"/>
  <c r="IS96" i="7"/>
  <c r="IR96" i="7"/>
  <c r="IQ96" i="7"/>
  <c r="IP96" i="7"/>
  <c r="IO96" i="7"/>
  <c r="IN96" i="7"/>
  <c r="IM96" i="7"/>
  <c r="IL96" i="7"/>
  <c r="IK96" i="7"/>
  <c r="IJ96" i="7"/>
  <c r="II96" i="7"/>
  <c r="IH96" i="7"/>
  <c r="IG96" i="7"/>
  <c r="IF96" i="7"/>
  <c r="IE96" i="7"/>
  <c r="ID96" i="7"/>
  <c r="IC96" i="7"/>
  <c r="IB96" i="7"/>
  <c r="IA96" i="7"/>
  <c r="HZ96" i="7"/>
  <c r="HY96" i="7"/>
  <c r="HX96" i="7"/>
  <c r="HW96" i="7"/>
  <c r="HV96" i="7"/>
  <c r="HU96" i="7"/>
  <c r="HT96" i="7"/>
  <c r="HS96" i="7"/>
  <c r="HR96" i="7"/>
  <c r="HQ96" i="7"/>
  <c r="HP96" i="7"/>
  <c r="HO96" i="7"/>
  <c r="HN96" i="7"/>
  <c r="HM96" i="7"/>
  <c r="HL96" i="7"/>
  <c r="HK96" i="7"/>
  <c r="HJ96" i="7"/>
  <c r="HI96" i="7"/>
  <c r="HH96" i="7"/>
  <c r="HG96" i="7"/>
  <c r="HF96" i="7"/>
  <c r="HE96" i="7"/>
  <c r="HD96" i="7"/>
  <c r="HC96" i="7"/>
  <c r="HB96" i="7"/>
  <c r="HA96" i="7"/>
  <c r="GZ96" i="7"/>
  <c r="GY96" i="7"/>
  <c r="GX96" i="7"/>
  <c r="GW96" i="7"/>
  <c r="GV96" i="7"/>
  <c r="GU96" i="7"/>
  <c r="GT96" i="7"/>
  <c r="GS96" i="7"/>
  <c r="GR96" i="7"/>
  <c r="GQ96" i="7"/>
  <c r="GP96" i="7"/>
  <c r="GO96" i="7"/>
  <c r="GN96" i="7"/>
  <c r="GM96" i="7"/>
  <c r="GL96" i="7"/>
  <c r="GK96" i="7"/>
  <c r="GJ96" i="7"/>
  <c r="GI96" i="7"/>
  <c r="GH96" i="7"/>
  <c r="GG96" i="7"/>
  <c r="GF96" i="7"/>
  <c r="GE96" i="7"/>
  <c r="GD96" i="7"/>
  <c r="GC96" i="7"/>
  <c r="GB96" i="7"/>
  <c r="GA96" i="7"/>
  <c r="FZ96" i="7"/>
  <c r="FY96" i="7"/>
  <c r="FX96" i="7"/>
  <c r="FW96" i="7"/>
  <c r="FV96" i="7"/>
  <c r="FU96" i="7"/>
  <c r="FT96" i="7"/>
  <c r="FS96" i="7"/>
  <c r="FR96" i="7"/>
  <c r="FQ96" i="7"/>
  <c r="FP96" i="7"/>
  <c r="FO96" i="7"/>
  <c r="FN96" i="7"/>
  <c r="FM96" i="7"/>
  <c r="FL96" i="7"/>
  <c r="FK96" i="7"/>
  <c r="FJ96" i="7"/>
  <c r="FI96" i="7"/>
  <c r="FH96" i="7"/>
  <c r="FG96" i="7"/>
  <c r="FF96" i="7"/>
  <c r="FE96" i="7"/>
  <c r="FD96" i="7"/>
  <c r="FC96" i="7"/>
  <c r="FB96" i="7"/>
  <c r="FA96" i="7"/>
  <c r="EZ96" i="7"/>
  <c r="EY96" i="7"/>
  <c r="EX96" i="7"/>
  <c r="EW96" i="7"/>
  <c r="EV96" i="7"/>
  <c r="EU96" i="7"/>
  <c r="ET96" i="7"/>
  <c r="ES96" i="7"/>
  <c r="ER96" i="7"/>
  <c r="EQ96" i="7"/>
  <c r="EP96" i="7"/>
  <c r="EO96" i="7"/>
  <c r="EN96" i="7"/>
  <c r="EM96" i="7"/>
  <c r="EL96" i="7"/>
  <c r="EK96" i="7"/>
  <c r="EJ96" i="7"/>
  <c r="EI96" i="7"/>
  <c r="EH96" i="7"/>
  <c r="EG96" i="7"/>
  <c r="EF96" i="7"/>
  <c r="EE96" i="7"/>
  <c r="ED96" i="7"/>
  <c r="EC96" i="7"/>
  <c r="EB96" i="7"/>
  <c r="EA96" i="7"/>
  <c r="DZ96" i="7"/>
  <c r="DY96" i="7"/>
  <c r="DX96" i="7"/>
  <c r="DW96" i="7"/>
  <c r="DV96" i="7"/>
  <c r="DU96" i="7"/>
  <c r="DT96" i="7"/>
  <c r="DS96" i="7"/>
  <c r="DR96" i="7"/>
  <c r="DQ96" i="7"/>
  <c r="DP96" i="7"/>
  <c r="DO96" i="7"/>
  <c r="DN96" i="7"/>
  <c r="DM96" i="7"/>
  <c r="DL96" i="7"/>
  <c r="DK96" i="7"/>
  <c r="DJ96" i="7"/>
  <c r="DI96" i="7"/>
  <c r="DH96" i="7"/>
  <c r="DG96" i="7"/>
  <c r="DF96" i="7"/>
  <c r="DE96" i="7"/>
  <c r="DD96" i="7"/>
  <c r="DC96" i="7"/>
  <c r="DB96" i="7"/>
  <c r="DA96" i="7"/>
  <c r="CZ96" i="7"/>
  <c r="CY96" i="7"/>
  <c r="CX96" i="7"/>
  <c r="CW96" i="7"/>
  <c r="CV96" i="7"/>
  <c r="CU96" i="7"/>
  <c r="CT96" i="7"/>
  <c r="CS96" i="7"/>
  <c r="CR96" i="7"/>
  <c r="CQ96" i="7"/>
  <c r="CP96" i="7"/>
  <c r="CO96" i="7"/>
  <c r="CN96" i="7"/>
  <c r="CM96" i="7"/>
  <c r="CL96" i="7"/>
  <c r="CK96" i="7"/>
  <c r="CJ96" i="7"/>
  <c r="CI96" i="7"/>
  <c r="CH96" i="7"/>
  <c r="CG96" i="7"/>
  <c r="CF96" i="7"/>
  <c r="CE96" i="7"/>
  <c r="CD96" i="7"/>
  <c r="CC96" i="7"/>
  <c r="CB96" i="7"/>
  <c r="CA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BN96" i="7"/>
  <c r="BM96" i="7"/>
  <c r="BL96" i="7"/>
  <c r="BK96" i="7"/>
  <c r="BJ96" i="7"/>
  <c r="BI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96" i="7"/>
  <c r="IV95" i="7"/>
  <c r="IU95" i="7"/>
  <c r="IT95" i="7"/>
  <c r="IS95" i="7"/>
  <c r="IR95" i="7"/>
  <c r="IQ95" i="7"/>
  <c r="IP95" i="7"/>
  <c r="IO95" i="7"/>
  <c r="IN95" i="7"/>
  <c r="IM95" i="7"/>
  <c r="IL95" i="7"/>
  <c r="IK95" i="7"/>
  <c r="IJ95" i="7"/>
  <c r="II95" i="7"/>
  <c r="IH95" i="7"/>
  <c r="IG95" i="7"/>
  <c r="IF95" i="7"/>
  <c r="IE95" i="7"/>
  <c r="ID95" i="7"/>
  <c r="IC95" i="7"/>
  <c r="IB95" i="7"/>
  <c r="IA95" i="7"/>
  <c r="HZ95" i="7"/>
  <c r="HY95" i="7"/>
  <c r="HX95" i="7"/>
  <c r="HW95" i="7"/>
  <c r="HV95" i="7"/>
  <c r="HU95" i="7"/>
  <c r="HT95" i="7"/>
  <c r="HS95" i="7"/>
  <c r="HR95" i="7"/>
  <c r="HQ95" i="7"/>
  <c r="HP95" i="7"/>
  <c r="HO95" i="7"/>
  <c r="HN95" i="7"/>
  <c r="HM95" i="7"/>
  <c r="HL95" i="7"/>
  <c r="HK95" i="7"/>
  <c r="HJ95" i="7"/>
  <c r="HI95" i="7"/>
  <c r="HH95" i="7"/>
  <c r="HG95" i="7"/>
  <c r="HF95" i="7"/>
  <c r="HE95" i="7"/>
  <c r="HD95" i="7"/>
  <c r="HC95" i="7"/>
  <c r="HB95" i="7"/>
  <c r="HA95" i="7"/>
  <c r="GZ95" i="7"/>
  <c r="GY95" i="7"/>
  <c r="GX95" i="7"/>
  <c r="GW95" i="7"/>
  <c r="GV95" i="7"/>
  <c r="GU95" i="7"/>
  <c r="GT95" i="7"/>
  <c r="GS95" i="7"/>
  <c r="GR95" i="7"/>
  <c r="GQ95" i="7"/>
  <c r="GP95" i="7"/>
  <c r="GO95" i="7"/>
  <c r="GN95" i="7"/>
  <c r="GM95" i="7"/>
  <c r="GL95" i="7"/>
  <c r="GK95" i="7"/>
  <c r="GJ95" i="7"/>
  <c r="GI95" i="7"/>
  <c r="GH95" i="7"/>
  <c r="GG95" i="7"/>
  <c r="GF95" i="7"/>
  <c r="GE95" i="7"/>
  <c r="GD95" i="7"/>
  <c r="GC95" i="7"/>
  <c r="GB95" i="7"/>
  <c r="GA95" i="7"/>
  <c r="FZ95" i="7"/>
  <c r="FY95" i="7"/>
  <c r="FX95" i="7"/>
  <c r="FW95" i="7"/>
  <c r="FV95" i="7"/>
  <c r="FU95" i="7"/>
  <c r="FT95" i="7"/>
  <c r="FS95" i="7"/>
  <c r="FR95" i="7"/>
  <c r="FQ95" i="7"/>
  <c r="FP95" i="7"/>
  <c r="FO95" i="7"/>
  <c r="FN95" i="7"/>
  <c r="FM95" i="7"/>
  <c r="FL95" i="7"/>
  <c r="FK95" i="7"/>
  <c r="FJ95" i="7"/>
  <c r="FI95" i="7"/>
  <c r="FH95" i="7"/>
  <c r="FG95" i="7"/>
  <c r="FF95" i="7"/>
  <c r="FE95" i="7"/>
  <c r="FD95" i="7"/>
  <c r="FC95" i="7"/>
  <c r="FB95" i="7"/>
  <c r="FA95" i="7"/>
  <c r="EZ95" i="7"/>
  <c r="EY95" i="7"/>
  <c r="EX95" i="7"/>
  <c r="EW95" i="7"/>
  <c r="EV95" i="7"/>
  <c r="EU95" i="7"/>
  <c r="ET95" i="7"/>
  <c r="ES95" i="7"/>
  <c r="ER95" i="7"/>
  <c r="EQ95" i="7"/>
  <c r="EP95" i="7"/>
  <c r="EO95" i="7"/>
  <c r="EN95" i="7"/>
  <c r="EM95" i="7"/>
  <c r="EL95" i="7"/>
  <c r="EK95" i="7"/>
  <c r="EJ95" i="7"/>
  <c r="EI95" i="7"/>
  <c r="EH95" i="7"/>
  <c r="EG95" i="7"/>
  <c r="EF95" i="7"/>
  <c r="EE95" i="7"/>
  <c r="ED95" i="7"/>
  <c r="EC95" i="7"/>
  <c r="EB95" i="7"/>
  <c r="EA95" i="7"/>
  <c r="DZ95" i="7"/>
  <c r="DY95" i="7"/>
  <c r="DX95" i="7"/>
  <c r="DW95" i="7"/>
  <c r="DV95" i="7"/>
  <c r="DU95" i="7"/>
  <c r="DT95" i="7"/>
  <c r="DS95" i="7"/>
  <c r="DR95" i="7"/>
  <c r="DQ95" i="7"/>
  <c r="DP95" i="7"/>
  <c r="DO95" i="7"/>
  <c r="DN95" i="7"/>
  <c r="DM95" i="7"/>
  <c r="DL95" i="7"/>
  <c r="DK95" i="7"/>
  <c r="DJ95" i="7"/>
  <c r="DI95" i="7"/>
  <c r="DH95" i="7"/>
  <c r="DG95" i="7"/>
  <c r="DF95" i="7"/>
  <c r="DE95" i="7"/>
  <c r="DD95" i="7"/>
  <c r="DC95" i="7"/>
  <c r="DB95" i="7"/>
  <c r="DA95" i="7"/>
  <c r="CZ95" i="7"/>
  <c r="CY95" i="7"/>
  <c r="CX95" i="7"/>
  <c r="CW95" i="7"/>
  <c r="CV95" i="7"/>
  <c r="CU95" i="7"/>
  <c r="CT95" i="7"/>
  <c r="CS95" i="7"/>
  <c r="CR95" i="7"/>
  <c r="CQ95" i="7"/>
  <c r="CP95" i="7"/>
  <c r="CO95" i="7"/>
  <c r="CN95" i="7"/>
  <c r="CM95" i="7"/>
  <c r="CL95" i="7"/>
  <c r="CK95" i="7"/>
  <c r="CJ95" i="7"/>
  <c r="CI95" i="7"/>
  <c r="CH95" i="7"/>
  <c r="CG95" i="7"/>
  <c r="CF95" i="7"/>
  <c r="CE95" i="7"/>
  <c r="CD95" i="7"/>
  <c r="CC95" i="7"/>
  <c r="CB95" i="7"/>
  <c r="CA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BN95" i="7"/>
  <c r="BM95" i="7"/>
  <c r="BL95" i="7"/>
  <c r="BK95" i="7"/>
  <c r="BJ95" i="7"/>
  <c r="BI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AV95" i="7"/>
  <c r="AU95" i="7"/>
  <c r="AT95" i="7"/>
  <c r="AS95" i="7"/>
  <c r="AR95" i="7"/>
  <c r="AQ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Z95" i="7"/>
  <c r="Y95" i="7"/>
  <c r="X95" i="7"/>
  <c r="W95" i="7"/>
  <c r="V95" i="7"/>
  <c r="U95" i="7"/>
  <c r="T95" i="7"/>
  <c r="S95" i="7"/>
  <c r="R95" i="7"/>
  <c r="Q95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C95" i="7"/>
  <c r="B95" i="7"/>
  <c r="A95" i="7"/>
  <c r="IV94" i="7"/>
  <c r="IU94" i="7"/>
  <c r="IT94" i="7"/>
  <c r="IS94" i="7"/>
  <c r="IR94" i="7"/>
  <c r="IQ94" i="7"/>
  <c r="IP94" i="7"/>
  <c r="IO94" i="7"/>
  <c r="IN94" i="7"/>
  <c r="IM94" i="7"/>
  <c r="IL94" i="7"/>
  <c r="IK94" i="7"/>
  <c r="IJ94" i="7"/>
  <c r="II94" i="7"/>
  <c r="IH94" i="7"/>
  <c r="IG94" i="7"/>
  <c r="IF94" i="7"/>
  <c r="IE94" i="7"/>
  <c r="ID94" i="7"/>
  <c r="IC94" i="7"/>
  <c r="IB94" i="7"/>
  <c r="IA94" i="7"/>
  <c r="HZ94" i="7"/>
  <c r="HY94" i="7"/>
  <c r="HX94" i="7"/>
  <c r="HW94" i="7"/>
  <c r="HV94" i="7"/>
  <c r="HU94" i="7"/>
  <c r="HT94" i="7"/>
  <c r="HS94" i="7"/>
  <c r="HR94" i="7"/>
  <c r="HQ94" i="7"/>
  <c r="HP94" i="7"/>
  <c r="HO94" i="7"/>
  <c r="HN94" i="7"/>
  <c r="HM94" i="7"/>
  <c r="HL94" i="7"/>
  <c r="HK94" i="7"/>
  <c r="HJ94" i="7"/>
  <c r="HI94" i="7"/>
  <c r="HH94" i="7"/>
  <c r="HG94" i="7"/>
  <c r="HF94" i="7"/>
  <c r="HE94" i="7"/>
  <c r="HD94" i="7"/>
  <c r="HC94" i="7"/>
  <c r="HB94" i="7"/>
  <c r="HA94" i="7"/>
  <c r="GZ94" i="7"/>
  <c r="GY94" i="7"/>
  <c r="GX94" i="7"/>
  <c r="GW94" i="7"/>
  <c r="GV94" i="7"/>
  <c r="GU94" i="7"/>
  <c r="GT94" i="7"/>
  <c r="GS94" i="7"/>
  <c r="GR94" i="7"/>
  <c r="GQ94" i="7"/>
  <c r="GP94" i="7"/>
  <c r="GO94" i="7"/>
  <c r="GN94" i="7"/>
  <c r="GM94" i="7"/>
  <c r="GL94" i="7"/>
  <c r="GK94" i="7"/>
  <c r="GJ94" i="7"/>
  <c r="GI94" i="7"/>
  <c r="GH94" i="7"/>
  <c r="GG94" i="7"/>
  <c r="GF94" i="7"/>
  <c r="GE94" i="7"/>
  <c r="GD94" i="7"/>
  <c r="GC94" i="7"/>
  <c r="GB94" i="7"/>
  <c r="GA94" i="7"/>
  <c r="FZ94" i="7"/>
  <c r="FY94" i="7"/>
  <c r="FX94" i="7"/>
  <c r="FW94" i="7"/>
  <c r="FV94" i="7"/>
  <c r="FU94" i="7"/>
  <c r="FT94" i="7"/>
  <c r="FS94" i="7"/>
  <c r="FR94" i="7"/>
  <c r="FQ94" i="7"/>
  <c r="FP94" i="7"/>
  <c r="FO94" i="7"/>
  <c r="FN94" i="7"/>
  <c r="FM94" i="7"/>
  <c r="FL94" i="7"/>
  <c r="FK94" i="7"/>
  <c r="FJ94" i="7"/>
  <c r="FI94" i="7"/>
  <c r="FH94" i="7"/>
  <c r="FG94" i="7"/>
  <c r="FF94" i="7"/>
  <c r="FE94" i="7"/>
  <c r="FD94" i="7"/>
  <c r="FC94" i="7"/>
  <c r="FB94" i="7"/>
  <c r="FA94" i="7"/>
  <c r="EZ94" i="7"/>
  <c r="EY94" i="7"/>
  <c r="EX94" i="7"/>
  <c r="EW94" i="7"/>
  <c r="EV94" i="7"/>
  <c r="EU94" i="7"/>
  <c r="ET94" i="7"/>
  <c r="ES94" i="7"/>
  <c r="ER94" i="7"/>
  <c r="EQ94" i="7"/>
  <c r="EP94" i="7"/>
  <c r="EO94" i="7"/>
  <c r="EN94" i="7"/>
  <c r="EM94" i="7"/>
  <c r="EL94" i="7"/>
  <c r="EK94" i="7"/>
  <c r="EJ94" i="7"/>
  <c r="EI94" i="7"/>
  <c r="EH94" i="7"/>
  <c r="EG94" i="7"/>
  <c r="EF94" i="7"/>
  <c r="EE94" i="7"/>
  <c r="ED94" i="7"/>
  <c r="EC94" i="7"/>
  <c r="EB94" i="7"/>
  <c r="EA94" i="7"/>
  <c r="DZ94" i="7"/>
  <c r="DY94" i="7"/>
  <c r="DX94" i="7"/>
  <c r="DW94" i="7"/>
  <c r="DV94" i="7"/>
  <c r="DU94" i="7"/>
  <c r="DT94" i="7"/>
  <c r="DS94" i="7"/>
  <c r="DR94" i="7"/>
  <c r="DQ94" i="7"/>
  <c r="DP94" i="7"/>
  <c r="DO94" i="7"/>
  <c r="DN94" i="7"/>
  <c r="DM94" i="7"/>
  <c r="DL94" i="7"/>
  <c r="DK94" i="7"/>
  <c r="DJ94" i="7"/>
  <c r="DI94" i="7"/>
  <c r="DH94" i="7"/>
  <c r="DG94" i="7"/>
  <c r="DF94" i="7"/>
  <c r="DE94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CB94" i="7"/>
  <c r="CA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J94" i="7"/>
  <c r="BI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R94" i="7"/>
  <c r="AQ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94" i="7"/>
  <c r="IV93" i="7"/>
  <c r="IU93" i="7"/>
  <c r="IT93" i="7"/>
  <c r="IS93" i="7"/>
  <c r="IR93" i="7"/>
  <c r="IQ93" i="7"/>
  <c r="IP93" i="7"/>
  <c r="IO93" i="7"/>
  <c r="IN93" i="7"/>
  <c r="IM93" i="7"/>
  <c r="IL93" i="7"/>
  <c r="IK93" i="7"/>
  <c r="IJ93" i="7"/>
  <c r="II93" i="7"/>
  <c r="IH93" i="7"/>
  <c r="IG93" i="7"/>
  <c r="IF93" i="7"/>
  <c r="IE93" i="7"/>
  <c r="ID93" i="7"/>
  <c r="IC93" i="7"/>
  <c r="IB93" i="7"/>
  <c r="IA93" i="7"/>
  <c r="HZ93" i="7"/>
  <c r="HY93" i="7"/>
  <c r="HX93" i="7"/>
  <c r="HW93" i="7"/>
  <c r="HV93" i="7"/>
  <c r="HU93" i="7"/>
  <c r="HT93" i="7"/>
  <c r="HS93" i="7"/>
  <c r="HR93" i="7"/>
  <c r="HQ93" i="7"/>
  <c r="HP93" i="7"/>
  <c r="HO93" i="7"/>
  <c r="HN93" i="7"/>
  <c r="HM93" i="7"/>
  <c r="HL93" i="7"/>
  <c r="HK93" i="7"/>
  <c r="HJ93" i="7"/>
  <c r="HI93" i="7"/>
  <c r="HH93" i="7"/>
  <c r="HG93" i="7"/>
  <c r="HF93" i="7"/>
  <c r="HE93" i="7"/>
  <c r="HD93" i="7"/>
  <c r="HC93" i="7"/>
  <c r="HB93" i="7"/>
  <c r="HA93" i="7"/>
  <c r="GZ93" i="7"/>
  <c r="GY93" i="7"/>
  <c r="GX93" i="7"/>
  <c r="GW93" i="7"/>
  <c r="GV93" i="7"/>
  <c r="GU93" i="7"/>
  <c r="GT93" i="7"/>
  <c r="GS93" i="7"/>
  <c r="GR93" i="7"/>
  <c r="GQ93" i="7"/>
  <c r="GP93" i="7"/>
  <c r="GO93" i="7"/>
  <c r="GN93" i="7"/>
  <c r="GM93" i="7"/>
  <c r="GL93" i="7"/>
  <c r="GK93" i="7"/>
  <c r="GJ93" i="7"/>
  <c r="GI93" i="7"/>
  <c r="GH93" i="7"/>
  <c r="GG93" i="7"/>
  <c r="GF93" i="7"/>
  <c r="GE93" i="7"/>
  <c r="GD93" i="7"/>
  <c r="GC93" i="7"/>
  <c r="GB93" i="7"/>
  <c r="GA93" i="7"/>
  <c r="FZ93" i="7"/>
  <c r="FY93" i="7"/>
  <c r="FX93" i="7"/>
  <c r="FW93" i="7"/>
  <c r="FV93" i="7"/>
  <c r="FU93" i="7"/>
  <c r="FT93" i="7"/>
  <c r="FS93" i="7"/>
  <c r="FR93" i="7"/>
  <c r="FQ93" i="7"/>
  <c r="FP93" i="7"/>
  <c r="FO93" i="7"/>
  <c r="FN93" i="7"/>
  <c r="FM93" i="7"/>
  <c r="FL93" i="7"/>
  <c r="FK93" i="7"/>
  <c r="FJ93" i="7"/>
  <c r="FI93" i="7"/>
  <c r="FH93" i="7"/>
  <c r="FG93" i="7"/>
  <c r="FF93" i="7"/>
  <c r="FE93" i="7"/>
  <c r="FD93" i="7"/>
  <c r="FC93" i="7"/>
  <c r="FB93" i="7"/>
  <c r="FA93" i="7"/>
  <c r="EZ93" i="7"/>
  <c r="EY93" i="7"/>
  <c r="EX93" i="7"/>
  <c r="EW93" i="7"/>
  <c r="EV93" i="7"/>
  <c r="EU93" i="7"/>
  <c r="ET93" i="7"/>
  <c r="ES93" i="7"/>
  <c r="ER93" i="7"/>
  <c r="EQ93" i="7"/>
  <c r="EP93" i="7"/>
  <c r="EO93" i="7"/>
  <c r="EN93" i="7"/>
  <c r="EM93" i="7"/>
  <c r="EL93" i="7"/>
  <c r="EK93" i="7"/>
  <c r="EJ93" i="7"/>
  <c r="EI93" i="7"/>
  <c r="EH93" i="7"/>
  <c r="EG93" i="7"/>
  <c r="EF93" i="7"/>
  <c r="EE93" i="7"/>
  <c r="ED93" i="7"/>
  <c r="EC93" i="7"/>
  <c r="EB93" i="7"/>
  <c r="EA93" i="7"/>
  <c r="DZ93" i="7"/>
  <c r="DY93" i="7"/>
  <c r="DX93" i="7"/>
  <c r="DW93" i="7"/>
  <c r="DV93" i="7"/>
  <c r="DU93" i="7"/>
  <c r="DT93" i="7"/>
  <c r="DS93" i="7"/>
  <c r="DR93" i="7"/>
  <c r="DQ93" i="7"/>
  <c r="DP93" i="7"/>
  <c r="DO93" i="7"/>
  <c r="DN93" i="7"/>
  <c r="DM93" i="7"/>
  <c r="DL93" i="7"/>
  <c r="DK93" i="7"/>
  <c r="DJ93" i="7"/>
  <c r="DI93" i="7"/>
  <c r="DH93" i="7"/>
  <c r="DG93" i="7"/>
  <c r="DF93" i="7"/>
  <c r="DE93" i="7"/>
  <c r="DD93" i="7"/>
  <c r="DC93" i="7"/>
  <c r="DB93" i="7"/>
  <c r="DA93" i="7"/>
  <c r="CZ93" i="7"/>
  <c r="CY93" i="7"/>
  <c r="CX93" i="7"/>
  <c r="CW93" i="7"/>
  <c r="CV93" i="7"/>
  <c r="CU93" i="7"/>
  <c r="CT93" i="7"/>
  <c r="CS93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F93" i="7"/>
  <c r="CE93" i="7"/>
  <c r="CD93" i="7"/>
  <c r="CC93" i="7"/>
  <c r="CB93" i="7"/>
  <c r="CA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BN93" i="7"/>
  <c r="BM93" i="7"/>
  <c r="BL93" i="7"/>
  <c r="BK93" i="7"/>
  <c r="BJ93" i="7"/>
  <c r="BI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R93" i="7"/>
  <c r="AQ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93" i="7"/>
  <c r="IV92" i="7"/>
  <c r="IU92" i="7"/>
  <c r="IT92" i="7"/>
  <c r="IS92" i="7"/>
  <c r="IR92" i="7"/>
  <c r="IQ92" i="7"/>
  <c r="IP92" i="7"/>
  <c r="IO92" i="7"/>
  <c r="IN92" i="7"/>
  <c r="IM92" i="7"/>
  <c r="IL92" i="7"/>
  <c r="IK92" i="7"/>
  <c r="IJ92" i="7"/>
  <c r="II92" i="7"/>
  <c r="IH92" i="7"/>
  <c r="IG92" i="7"/>
  <c r="IF92" i="7"/>
  <c r="IE92" i="7"/>
  <c r="ID92" i="7"/>
  <c r="IC92" i="7"/>
  <c r="IB92" i="7"/>
  <c r="IA92" i="7"/>
  <c r="HZ92" i="7"/>
  <c r="HY92" i="7"/>
  <c r="HX92" i="7"/>
  <c r="HW92" i="7"/>
  <c r="HV92" i="7"/>
  <c r="HU92" i="7"/>
  <c r="HT92" i="7"/>
  <c r="HS92" i="7"/>
  <c r="HR92" i="7"/>
  <c r="HQ92" i="7"/>
  <c r="HP92" i="7"/>
  <c r="HO92" i="7"/>
  <c r="HN92" i="7"/>
  <c r="HM92" i="7"/>
  <c r="HL92" i="7"/>
  <c r="HK92" i="7"/>
  <c r="HJ92" i="7"/>
  <c r="HI92" i="7"/>
  <c r="HH92" i="7"/>
  <c r="HG92" i="7"/>
  <c r="HF92" i="7"/>
  <c r="HE92" i="7"/>
  <c r="HD92" i="7"/>
  <c r="HC92" i="7"/>
  <c r="HB92" i="7"/>
  <c r="HA92" i="7"/>
  <c r="GZ92" i="7"/>
  <c r="GY92" i="7"/>
  <c r="GX92" i="7"/>
  <c r="GW92" i="7"/>
  <c r="GV92" i="7"/>
  <c r="GU92" i="7"/>
  <c r="GT92" i="7"/>
  <c r="GS92" i="7"/>
  <c r="GR92" i="7"/>
  <c r="GQ92" i="7"/>
  <c r="GP92" i="7"/>
  <c r="GO92" i="7"/>
  <c r="GN92" i="7"/>
  <c r="GM92" i="7"/>
  <c r="GL92" i="7"/>
  <c r="GK92" i="7"/>
  <c r="GJ92" i="7"/>
  <c r="GI92" i="7"/>
  <c r="GH92" i="7"/>
  <c r="GG92" i="7"/>
  <c r="GF92" i="7"/>
  <c r="GE92" i="7"/>
  <c r="GD92" i="7"/>
  <c r="GC92" i="7"/>
  <c r="GB92" i="7"/>
  <c r="GA92" i="7"/>
  <c r="FZ92" i="7"/>
  <c r="FY92" i="7"/>
  <c r="FX92" i="7"/>
  <c r="FW92" i="7"/>
  <c r="FV92" i="7"/>
  <c r="FU92" i="7"/>
  <c r="FT92" i="7"/>
  <c r="FS92" i="7"/>
  <c r="FR92" i="7"/>
  <c r="FQ92" i="7"/>
  <c r="FP92" i="7"/>
  <c r="FO92" i="7"/>
  <c r="FN92" i="7"/>
  <c r="FM92" i="7"/>
  <c r="FL92" i="7"/>
  <c r="FK92" i="7"/>
  <c r="FJ92" i="7"/>
  <c r="FI92" i="7"/>
  <c r="FH92" i="7"/>
  <c r="FG92" i="7"/>
  <c r="FF92" i="7"/>
  <c r="FE92" i="7"/>
  <c r="FD92" i="7"/>
  <c r="FC92" i="7"/>
  <c r="FB92" i="7"/>
  <c r="FA92" i="7"/>
  <c r="EZ92" i="7"/>
  <c r="EY92" i="7"/>
  <c r="EX92" i="7"/>
  <c r="EW92" i="7"/>
  <c r="EV92" i="7"/>
  <c r="EU92" i="7"/>
  <c r="ET92" i="7"/>
  <c r="ES92" i="7"/>
  <c r="ER92" i="7"/>
  <c r="EQ92" i="7"/>
  <c r="EP92" i="7"/>
  <c r="EO92" i="7"/>
  <c r="EN92" i="7"/>
  <c r="EM92" i="7"/>
  <c r="EL92" i="7"/>
  <c r="EK92" i="7"/>
  <c r="EJ92" i="7"/>
  <c r="EI92" i="7"/>
  <c r="EH92" i="7"/>
  <c r="EG92" i="7"/>
  <c r="EF92" i="7"/>
  <c r="EE92" i="7"/>
  <c r="ED92" i="7"/>
  <c r="EC92" i="7"/>
  <c r="EB92" i="7"/>
  <c r="EA92" i="7"/>
  <c r="DZ92" i="7"/>
  <c r="DY92" i="7"/>
  <c r="DX92" i="7"/>
  <c r="DW92" i="7"/>
  <c r="DV92" i="7"/>
  <c r="DU92" i="7"/>
  <c r="DT92" i="7"/>
  <c r="DS92" i="7"/>
  <c r="DR92" i="7"/>
  <c r="DQ92" i="7"/>
  <c r="DP92" i="7"/>
  <c r="DO92" i="7"/>
  <c r="DN92" i="7"/>
  <c r="DM92" i="7"/>
  <c r="DL92" i="7"/>
  <c r="DK92" i="7"/>
  <c r="DJ92" i="7"/>
  <c r="DI92" i="7"/>
  <c r="DH92" i="7"/>
  <c r="DG92" i="7"/>
  <c r="DF92" i="7"/>
  <c r="DE92" i="7"/>
  <c r="DD92" i="7"/>
  <c r="DC92" i="7"/>
  <c r="DB92" i="7"/>
  <c r="DA92" i="7"/>
  <c r="CZ92" i="7"/>
  <c r="CY92" i="7"/>
  <c r="CX92" i="7"/>
  <c r="CW92" i="7"/>
  <c r="CV92" i="7"/>
  <c r="CU92" i="7"/>
  <c r="CT92" i="7"/>
  <c r="CS92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F92" i="7"/>
  <c r="CE92" i="7"/>
  <c r="CD92" i="7"/>
  <c r="CC92" i="7"/>
  <c r="CB92" i="7"/>
  <c r="CA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BN92" i="7"/>
  <c r="BM92" i="7"/>
  <c r="BL92" i="7"/>
  <c r="BK92" i="7"/>
  <c r="BJ92" i="7"/>
  <c r="BI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92" i="7"/>
  <c r="IV91" i="7"/>
  <c r="IU91" i="7"/>
  <c r="IT91" i="7"/>
  <c r="IS91" i="7"/>
  <c r="IR91" i="7"/>
  <c r="IQ91" i="7"/>
  <c r="IP91" i="7"/>
  <c r="IO91" i="7"/>
  <c r="IN91" i="7"/>
  <c r="IM91" i="7"/>
  <c r="IL91" i="7"/>
  <c r="IK91" i="7"/>
  <c r="IJ91" i="7"/>
  <c r="II91" i="7"/>
  <c r="IH91" i="7"/>
  <c r="IG91" i="7"/>
  <c r="IF91" i="7"/>
  <c r="IE91" i="7"/>
  <c r="ID91" i="7"/>
  <c r="IC91" i="7"/>
  <c r="IB91" i="7"/>
  <c r="IA91" i="7"/>
  <c r="HZ91" i="7"/>
  <c r="HY91" i="7"/>
  <c r="HX91" i="7"/>
  <c r="HW91" i="7"/>
  <c r="HV91" i="7"/>
  <c r="HU91" i="7"/>
  <c r="HT91" i="7"/>
  <c r="HS91" i="7"/>
  <c r="HR91" i="7"/>
  <c r="HQ91" i="7"/>
  <c r="HP91" i="7"/>
  <c r="HO91" i="7"/>
  <c r="HN91" i="7"/>
  <c r="HM91" i="7"/>
  <c r="HL91" i="7"/>
  <c r="HK91" i="7"/>
  <c r="HJ91" i="7"/>
  <c r="HI91" i="7"/>
  <c r="HH91" i="7"/>
  <c r="HG91" i="7"/>
  <c r="HF91" i="7"/>
  <c r="HE91" i="7"/>
  <c r="HD91" i="7"/>
  <c r="HC91" i="7"/>
  <c r="HB91" i="7"/>
  <c r="HA91" i="7"/>
  <c r="GZ91" i="7"/>
  <c r="GY91" i="7"/>
  <c r="GX91" i="7"/>
  <c r="GW91" i="7"/>
  <c r="GV91" i="7"/>
  <c r="GU91" i="7"/>
  <c r="GT91" i="7"/>
  <c r="GS91" i="7"/>
  <c r="GR91" i="7"/>
  <c r="GQ91" i="7"/>
  <c r="GP91" i="7"/>
  <c r="GO91" i="7"/>
  <c r="GN91" i="7"/>
  <c r="GM91" i="7"/>
  <c r="GL91" i="7"/>
  <c r="GK91" i="7"/>
  <c r="GJ91" i="7"/>
  <c r="GI91" i="7"/>
  <c r="GH91" i="7"/>
  <c r="GG91" i="7"/>
  <c r="GF91" i="7"/>
  <c r="GE91" i="7"/>
  <c r="GD91" i="7"/>
  <c r="GC91" i="7"/>
  <c r="GB91" i="7"/>
  <c r="GA91" i="7"/>
  <c r="FZ91" i="7"/>
  <c r="FY91" i="7"/>
  <c r="FX91" i="7"/>
  <c r="FW91" i="7"/>
  <c r="FV91" i="7"/>
  <c r="FU91" i="7"/>
  <c r="FT91" i="7"/>
  <c r="FS91" i="7"/>
  <c r="FR91" i="7"/>
  <c r="FQ91" i="7"/>
  <c r="FP91" i="7"/>
  <c r="FO91" i="7"/>
  <c r="FN91" i="7"/>
  <c r="FM91" i="7"/>
  <c r="FL91" i="7"/>
  <c r="FK91" i="7"/>
  <c r="FJ91" i="7"/>
  <c r="FI91" i="7"/>
  <c r="FH91" i="7"/>
  <c r="FG91" i="7"/>
  <c r="FF91" i="7"/>
  <c r="FE91" i="7"/>
  <c r="FD91" i="7"/>
  <c r="FC91" i="7"/>
  <c r="FB91" i="7"/>
  <c r="FA91" i="7"/>
  <c r="EZ91" i="7"/>
  <c r="EY91" i="7"/>
  <c r="EX91" i="7"/>
  <c r="EW91" i="7"/>
  <c r="EV91" i="7"/>
  <c r="EU91" i="7"/>
  <c r="ET91" i="7"/>
  <c r="ES91" i="7"/>
  <c r="ER91" i="7"/>
  <c r="EQ91" i="7"/>
  <c r="EP91" i="7"/>
  <c r="EO91" i="7"/>
  <c r="EN91" i="7"/>
  <c r="EM91" i="7"/>
  <c r="EL91" i="7"/>
  <c r="EK91" i="7"/>
  <c r="EJ91" i="7"/>
  <c r="EI91" i="7"/>
  <c r="EH91" i="7"/>
  <c r="EG91" i="7"/>
  <c r="EF91" i="7"/>
  <c r="EE91" i="7"/>
  <c r="ED91" i="7"/>
  <c r="EC91" i="7"/>
  <c r="EB91" i="7"/>
  <c r="EA91" i="7"/>
  <c r="DZ91" i="7"/>
  <c r="DY91" i="7"/>
  <c r="DX91" i="7"/>
  <c r="DW91" i="7"/>
  <c r="DV91" i="7"/>
  <c r="DU91" i="7"/>
  <c r="DT91" i="7"/>
  <c r="DS91" i="7"/>
  <c r="DR91" i="7"/>
  <c r="DQ91" i="7"/>
  <c r="DP91" i="7"/>
  <c r="DO91" i="7"/>
  <c r="DN91" i="7"/>
  <c r="DM91" i="7"/>
  <c r="DL91" i="7"/>
  <c r="DK91" i="7"/>
  <c r="DJ91" i="7"/>
  <c r="DI91" i="7"/>
  <c r="DH91" i="7"/>
  <c r="DG91" i="7"/>
  <c r="DF91" i="7"/>
  <c r="DE91" i="7"/>
  <c r="DD91" i="7"/>
  <c r="DC91" i="7"/>
  <c r="DB91" i="7"/>
  <c r="DA91" i="7"/>
  <c r="CZ91" i="7"/>
  <c r="CY91" i="7"/>
  <c r="CX91" i="7"/>
  <c r="CW91" i="7"/>
  <c r="CV91" i="7"/>
  <c r="CU91" i="7"/>
  <c r="CT91" i="7"/>
  <c r="CS91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CB91" i="7"/>
  <c r="CA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M91" i="7"/>
  <c r="BL91" i="7"/>
  <c r="BK91" i="7"/>
  <c r="BJ91" i="7"/>
  <c r="BI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91" i="7"/>
  <c r="IV90" i="7"/>
  <c r="IU90" i="7"/>
  <c r="IT90" i="7"/>
  <c r="IS90" i="7"/>
  <c r="IR90" i="7"/>
  <c r="IQ90" i="7"/>
  <c r="IP90" i="7"/>
  <c r="IO90" i="7"/>
  <c r="IN90" i="7"/>
  <c r="IM90" i="7"/>
  <c r="IL90" i="7"/>
  <c r="IK90" i="7"/>
  <c r="IJ90" i="7"/>
  <c r="II90" i="7"/>
  <c r="IH90" i="7"/>
  <c r="IG90" i="7"/>
  <c r="IF90" i="7"/>
  <c r="IE90" i="7"/>
  <c r="ID90" i="7"/>
  <c r="IC90" i="7"/>
  <c r="IB90" i="7"/>
  <c r="IA90" i="7"/>
  <c r="HZ90" i="7"/>
  <c r="HY90" i="7"/>
  <c r="HX90" i="7"/>
  <c r="HW90" i="7"/>
  <c r="HV90" i="7"/>
  <c r="HU90" i="7"/>
  <c r="HT90" i="7"/>
  <c r="HS90" i="7"/>
  <c r="HR90" i="7"/>
  <c r="HQ90" i="7"/>
  <c r="HP90" i="7"/>
  <c r="HO90" i="7"/>
  <c r="HN90" i="7"/>
  <c r="HM90" i="7"/>
  <c r="HL90" i="7"/>
  <c r="HK90" i="7"/>
  <c r="HJ90" i="7"/>
  <c r="HI90" i="7"/>
  <c r="HH90" i="7"/>
  <c r="HG90" i="7"/>
  <c r="HF90" i="7"/>
  <c r="HE90" i="7"/>
  <c r="HD90" i="7"/>
  <c r="HC90" i="7"/>
  <c r="HB90" i="7"/>
  <c r="HA90" i="7"/>
  <c r="GZ90" i="7"/>
  <c r="GY90" i="7"/>
  <c r="GX90" i="7"/>
  <c r="GW90" i="7"/>
  <c r="GV90" i="7"/>
  <c r="GU90" i="7"/>
  <c r="GT90" i="7"/>
  <c r="GS90" i="7"/>
  <c r="GR90" i="7"/>
  <c r="GQ90" i="7"/>
  <c r="GP90" i="7"/>
  <c r="GO90" i="7"/>
  <c r="GN90" i="7"/>
  <c r="GM90" i="7"/>
  <c r="GL90" i="7"/>
  <c r="GK90" i="7"/>
  <c r="GJ90" i="7"/>
  <c r="GI90" i="7"/>
  <c r="GH90" i="7"/>
  <c r="GG90" i="7"/>
  <c r="GF90" i="7"/>
  <c r="GE90" i="7"/>
  <c r="GD90" i="7"/>
  <c r="GC90" i="7"/>
  <c r="GB90" i="7"/>
  <c r="GA90" i="7"/>
  <c r="FZ90" i="7"/>
  <c r="FY90" i="7"/>
  <c r="FX90" i="7"/>
  <c r="FW90" i="7"/>
  <c r="FV90" i="7"/>
  <c r="FU90" i="7"/>
  <c r="FT90" i="7"/>
  <c r="FS90" i="7"/>
  <c r="FR90" i="7"/>
  <c r="FQ90" i="7"/>
  <c r="FP90" i="7"/>
  <c r="FO90" i="7"/>
  <c r="FN90" i="7"/>
  <c r="FM90" i="7"/>
  <c r="FL90" i="7"/>
  <c r="FK90" i="7"/>
  <c r="FJ90" i="7"/>
  <c r="FI90" i="7"/>
  <c r="FH90" i="7"/>
  <c r="FG90" i="7"/>
  <c r="FF90" i="7"/>
  <c r="FE90" i="7"/>
  <c r="FD90" i="7"/>
  <c r="FC90" i="7"/>
  <c r="FB90" i="7"/>
  <c r="FA90" i="7"/>
  <c r="EZ90" i="7"/>
  <c r="EY90" i="7"/>
  <c r="EX90" i="7"/>
  <c r="EW90" i="7"/>
  <c r="EV90" i="7"/>
  <c r="EU90" i="7"/>
  <c r="ET90" i="7"/>
  <c r="ES90" i="7"/>
  <c r="ER90" i="7"/>
  <c r="EQ90" i="7"/>
  <c r="EP90" i="7"/>
  <c r="EO90" i="7"/>
  <c r="EN90" i="7"/>
  <c r="EM90" i="7"/>
  <c r="EL90" i="7"/>
  <c r="EK90" i="7"/>
  <c r="EJ90" i="7"/>
  <c r="EI90" i="7"/>
  <c r="EH90" i="7"/>
  <c r="EG90" i="7"/>
  <c r="EF90" i="7"/>
  <c r="EE90" i="7"/>
  <c r="ED90" i="7"/>
  <c r="EC90" i="7"/>
  <c r="EB90" i="7"/>
  <c r="EA90" i="7"/>
  <c r="DZ90" i="7"/>
  <c r="DY90" i="7"/>
  <c r="DX90" i="7"/>
  <c r="DW90" i="7"/>
  <c r="DV90" i="7"/>
  <c r="DU90" i="7"/>
  <c r="DT90" i="7"/>
  <c r="DS90" i="7"/>
  <c r="DR90" i="7"/>
  <c r="DQ90" i="7"/>
  <c r="DP90" i="7"/>
  <c r="DO90" i="7"/>
  <c r="DN90" i="7"/>
  <c r="DM90" i="7"/>
  <c r="DL90" i="7"/>
  <c r="DK90" i="7"/>
  <c r="DJ90" i="7"/>
  <c r="DI90" i="7"/>
  <c r="DH90" i="7"/>
  <c r="DG90" i="7"/>
  <c r="DF90" i="7"/>
  <c r="DE90" i="7"/>
  <c r="DD90" i="7"/>
  <c r="DC90" i="7"/>
  <c r="DB90" i="7"/>
  <c r="DA90" i="7"/>
  <c r="CZ90" i="7"/>
  <c r="CY90" i="7"/>
  <c r="CX90" i="7"/>
  <c r="CW90" i="7"/>
  <c r="CV90" i="7"/>
  <c r="CU90" i="7"/>
  <c r="CT90" i="7"/>
  <c r="CS90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F90" i="7"/>
  <c r="CE90" i="7"/>
  <c r="CD90" i="7"/>
  <c r="CC90" i="7"/>
  <c r="CB90" i="7"/>
  <c r="CA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BN90" i="7"/>
  <c r="BM90" i="7"/>
  <c r="BL90" i="7"/>
  <c r="BK90" i="7"/>
  <c r="BJ90" i="7"/>
  <c r="BI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90" i="7"/>
  <c r="IV89" i="7"/>
  <c r="IU89" i="7"/>
  <c r="IT89" i="7"/>
  <c r="IS89" i="7"/>
  <c r="IR89" i="7"/>
  <c r="IQ89" i="7"/>
  <c r="IP89" i="7"/>
  <c r="IO89" i="7"/>
  <c r="IN89" i="7"/>
  <c r="IM89" i="7"/>
  <c r="IL89" i="7"/>
  <c r="IK89" i="7"/>
  <c r="IJ89" i="7"/>
  <c r="II89" i="7"/>
  <c r="IH89" i="7"/>
  <c r="IG89" i="7"/>
  <c r="IF89" i="7"/>
  <c r="IE89" i="7"/>
  <c r="ID89" i="7"/>
  <c r="IC89" i="7"/>
  <c r="IB89" i="7"/>
  <c r="IA89" i="7"/>
  <c r="HZ89" i="7"/>
  <c r="HY89" i="7"/>
  <c r="HX89" i="7"/>
  <c r="HW89" i="7"/>
  <c r="HV89" i="7"/>
  <c r="HU89" i="7"/>
  <c r="HT89" i="7"/>
  <c r="HS89" i="7"/>
  <c r="HR89" i="7"/>
  <c r="HQ89" i="7"/>
  <c r="HP89" i="7"/>
  <c r="HO89" i="7"/>
  <c r="HN89" i="7"/>
  <c r="HM89" i="7"/>
  <c r="HL89" i="7"/>
  <c r="HK89" i="7"/>
  <c r="HJ89" i="7"/>
  <c r="HI89" i="7"/>
  <c r="HH89" i="7"/>
  <c r="HG89" i="7"/>
  <c r="HF89" i="7"/>
  <c r="HE89" i="7"/>
  <c r="HD89" i="7"/>
  <c r="HC89" i="7"/>
  <c r="HB89" i="7"/>
  <c r="HA89" i="7"/>
  <c r="GZ89" i="7"/>
  <c r="GY89" i="7"/>
  <c r="GX89" i="7"/>
  <c r="GW89" i="7"/>
  <c r="GV89" i="7"/>
  <c r="GU89" i="7"/>
  <c r="GT89" i="7"/>
  <c r="GS89" i="7"/>
  <c r="GR89" i="7"/>
  <c r="GQ89" i="7"/>
  <c r="GP89" i="7"/>
  <c r="GO89" i="7"/>
  <c r="GN89" i="7"/>
  <c r="GM89" i="7"/>
  <c r="GL89" i="7"/>
  <c r="GK89" i="7"/>
  <c r="GJ89" i="7"/>
  <c r="GI89" i="7"/>
  <c r="GH89" i="7"/>
  <c r="GG89" i="7"/>
  <c r="GF89" i="7"/>
  <c r="GE89" i="7"/>
  <c r="GD89" i="7"/>
  <c r="GC89" i="7"/>
  <c r="GB89" i="7"/>
  <c r="GA89" i="7"/>
  <c r="FZ89" i="7"/>
  <c r="FY89" i="7"/>
  <c r="FX89" i="7"/>
  <c r="FW89" i="7"/>
  <c r="FV89" i="7"/>
  <c r="FU89" i="7"/>
  <c r="FT89" i="7"/>
  <c r="FS89" i="7"/>
  <c r="FR89" i="7"/>
  <c r="FQ89" i="7"/>
  <c r="FP89" i="7"/>
  <c r="FO89" i="7"/>
  <c r="FN89" i="7"/>
  <c r="FM89" i="7"/>
  <c r="FL89" i="7"/>
  <c r="FK89" i="7"/>
  <c r="FJ89" i="7"/>
  <c r="FI89" i="7"/>
  <c r="FH89" i="7"/>
  <c r="FG89" i="7"/>
  <c r="FF89" i="7"/>
  <c r="FE89" i="7"/>
  <c r="FD89" i="7"/>
  <c r="FC89" i="7"/>
  <c r="FB89" i="7"/>
  <c r="FA89" i="7"/>
  <c r="EZ89" i="7"/>
  <c r="EY89" i="7"/>
  <c r="EX89" i="7"/>
  <c r="EW89" i="7"/>
  <c r="EV89" i="7"/>
  <c r="EU89" i="7"/>
  <c r="ET89" i="7"/>
  <c r="ES89" i="7"/>
  <c r="ER89" i="7"/>
  <c r="EQ89" i="7"/>
  <c r="EP89" i="7"/>
  <c r="EO89" i="7"/>
  <c r="EN89" i="7"/>
  <c r="EM89" i="7"/>
  <c r="EL89" i="7"/>
  <c r="EK89" i="7"/>
  <c r="EJ89" i="7"/>
  <c r="EI89" i="7"/>
  <c r="EH89" i="7"/>
  <c r="EG89" i="7"/>
  <c r="EF89" i="7"/>
  <c r="EE89" i="7"/>
  <c r="ED89" i="7"/>
  <c r="EC89" i="7"/>
  <c r="EB89" i="7"/>
  <c r="EA89" i="7"/>
  <c r="DZ89" i="7"/>
  <c r="DY89" i="7"/>
  <c r="DX89" i="7"/>
  <c r="DW89" i="7"/>
  <c r="DV89" i="7"/>
  <c r="DU89" i="7"/>
  <c r="DT89" i="7"/>
  <c r="DS89" i="7"/>
  <c r="DR89" i="7"/>
  <c r="DQ89" i="7"/>
  <c r="DP89" i="7"/>
  <c r="DO89" i="7"/>
  <c r="DN89" i="7"/>
  <c r="DM89" i="7"/>
  <c r="DL89" i="7"/>
  <c r="DK89" i="7"/>
  <c r="DJ89" i="7"/>
  <c r="DI89" i="7"/>
  <c r="DH89" i="7"/>
  <c r="DG89" i="7"/>
  <c r="DF89" i="7"/>
  <c r="DE89" i="7"/>
  <c r="DD89" i="7"/>
  <c r="DC89" i="7"/>
  <c r="DB89" i="7"/>
  <c r="DA89" i="7"/>
  <c r="CZ89" i="7"/>
  <c r="CY89" i="7"/>
  <c r="CX89" i="7"/>
  <c r="CW89" i="7"/>
  <c r="CV89" i="7"/>
  <c r="CU89" i="7"/>
  <c r="CT89" i="7"/>
  <c r="CS89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CB89" i="7"/>
  <c r="CA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J89" i="7"/>
  <c r="BI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Z89" i="7"/>
  <c r="Y89" i="7"/>
  <c r="X89" i="7"/>
  <c r="W89" i="7"/>
  <c r="V89" i="7"/>
  <c r="U89" i="7"/>
  <c r="T89" i="7"/>
  <c r="S89" i="7"/>
  <c r="R89" i="7"/>
  <c r="Q89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C89" i="7"/>
  <c r="B89" i="7"/>
  <c r="A89" i="7"/>
  <c r="IV88" i="7"/>
  <c r="IU88" i="7"/>
  <c r="IT88" i="7"/>
  <c r="IS88" i="7"/>
  <c r="IR88" i="7"/>
  <c r="IQ88" i="7"/>
  <c r="IP88" i="7"/>
  <c r="IO88" i="7"/>
  <c r="IN88" i="7"/>
  <c r="IM88" i="7"/>
  <c r="IL88" i="7"/>
  <c r="IK88" i="7"/>
  <c r="IJ88" i="7"/>
  <c r="II88" i="7"/>
  <c r="IH88" i="7"/>
  <c r="IG88" i="7"/>
  <c r="IF88" i="7"/>
  <c r="IE88" i="7"/>
  <c r="ID88" i="7"/>
  <c r="IC88" i="7"/>
  <c r="IB88" i="7"/>
  <c r="IA88" i="7"/>
  <c r="HZ88" i="7"/>
  <c r="HY88" i="7"/>
  <c r="HX88" i="7"/>
  <c r="HW88" i="7"/>
  <c r="HV88" i="7"/>
  <c r="HU88" i="7"/>
  <c r="HT88" i="7"/>
  <c r="HS88" i="7"/>
  <c r="HR88" i="7"/>
  <c r="HQ88" i="7"/>
  <c r="HP88" i="7"/>
  <c r="HO88" i="7"/>
  <c r="HN88" i="7"/>
  <c r="HM88" i="7"/>
  <c r="HL88" i="7"/>
  <c r="HK88" i="7"/>
  <c r="HJ88" i="7"/>
  <c r="HI88" i="7"/>
  <c r="HH88" i="7"/>
  <c r="HG88" i="7"/>
  <c r="HF88" i="7"/>
  <c r="HE88" i="7"/>
  <c r="HD88" i="7"/>
  <c r="HC88" i="7"/>
  <c r="HB88" i="7"/>
  <c r="HA88" i="7"/>
  <c r="GZ88" i="7"/>
  <c r="GY88" i="7"/>
  <c r="GX88" i="7"/>
  <c r="GW88" i="7"/>
  <c r="GV88" i="7"/>
  <c r="GU88" i="7"/>
  <c r="GT88" i="7"/>
  <c r="GS88" i="7"/>
  <c r="GR88" i="7"/>
  <c r="GQ88" i="7"/>
  <c r="GP88" i="7"/>
  <c r="GO88" i="7"/>
  <c r="GN88" i="7"/>
  <c r="GM88" i="7"/>
  <c r="GL88" i="7"/>
  <c r="GK88" i="7"/>
  <c r="GJ88" i="7"/>
  <c r="GI88" i="7"/>
  <c r="GH88" i="7"/>
  <c r="GG88" i="7"/>
  <c r="GF88" i="7"/>
  <c r="GE88" i="7"/>
  <c r="GD88" i="7"/>
  <c r="GC88" i="7"/>
  <c r="GB88" i="7"/>
  <c r="GA88" i="7"/>
  <c r="FZ88" i="7"/>
  <c r="FY88" i="7"/>
  <c r="FX88" i="7"/>
  <c r="FW88" i="7"/>
  <c r="FV88" i="7"/>
  <c r="FU88" i="7"/>
  <c r="FT88" i="7"/>
  <c r="FS88" i="7"/>
  <c r="FR88" i="7"/>
  <c r="FQ88" i="7"/>
  <c r="FP88" i="7"/>
  <c r="FO88" i="7"/>
  <c r="FN88" i="7"/>
  <c r="FM88" i="7"/>
  <c r="FL88" i="7"/>
  <c r="FK88" i="7"/>
  <c r="FJ88" i="7"/>
  <c r="FI88" i="7"/>
  <c r="FH88" i="7"/>
  <c r="FG88" i="7"/>
  <c r="FF88" i="7"/>
  <c r="FE88" i="7"/>
  <c r="FD88" i="7"/>
  <c r="FC88" i="7"/>
  <c r="FB88" i="7"/>
  <c r="FA88" i="7"/>
  <c r="EZ88" i="7"/>
  <c r="EY88" i="7"/>
  <c r="EX88" i="7"/>
  <c r="EW88" i="7"/>
  <c r="EV88" i="7"/>
  <c r="EU88" i="7"/>
  <c r="ET88" i="7"/>
  <c r="ES88" i="7"/>
  <c r="ER88" i="7"/>
  <c r="EQ88" i="7"/>
  <c r="EP88" i="7"/>
  <c r="EO88" i="7"/>
  <c r="EN88" i="7"/>
  <c r="EM88" i="7"/>
  <c r="EL88" i="7"/>
  <c r="EK88" i="7"/>
  <c r="EJ88" i="7"/>
  <c r="EI88" i="7"/>
  <c r="EH88" i="7"/>
  <c r="EG88" i="7"/>
  <c r="EF88" i="7"/>
  <c r="EE88" i="7"/>
  <c r="ED88" i="7"/>
  <c r="EC88" i="7"/>
  <c r="EB88" i="7"/>
  <c r="EA88" i="7"/>
  <c r="DZ88" i="7"/>
  <c r="DY88" i="7"/>
  <c r="DX88" i="7"/>
  <c r="DW88" i="7"/>
  <c r="DV88" i="7"/>
  <c r="DU88" i="7"/>
  <c r="DT88" i="7"/>
  <c r="DS88" i="7"/>
  <c r="DR88" i="7"/>
  <c r="DQ88" i="7"/>
  <c r="DP88" i="7"/>
  <c r="DO88" i="7"/>
  <c r="DN88" i="7"/>
  <c r="DM88" i="7"/>
  <c r="DL88" i="7"/>
  <c r="DK88" i="7"/>
  <c r="DJ88" i="7"/>
  <c r="DI88" i="7"/>
  <c r="DH88" i="7"/>
  <c r="DG88" i="7"/>
  <c r="DF88" i="7"/>
  <c r="DE88" i="7"/>
  <c r="DD88" i="7"/>
  <c r="DC88" i="7"/>
  <c r="DB88" i="7"/>
  <c r="DA88" i="7"/>
  <c r="CZ88" i="7"/>
  <c r="CY88" i="7"/>
  <c r="CX88" i="7"/>
  <c r="CW88" i="7"/>
  <c r="CV88" i="7"/>
  <c r="CU88" i="7"/>
  <c r="CT88" i="7"/>
  <c r="CS88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BN88" i="7"/>
  <c r="BM88" i="7"/>
  <c r="BL88" i="7"/>
  <c r="BK88" i="7"/>
  <c r="BJ88" i="7"/>
  <c r="BI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R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B88" i="7"/>
  <c r="A88" i="7"/>
  <c r="IV87" i="7"/>
  <c r="IU87" i="7"/>
  <c r="IT87" i="7"/>
  <c r="IS87" i="7"/>
  <c r="IR87" i="7"/>
  <c r="IQ87" i="7"/>
  <c r="IP87" i="7"/>
  <c r="IO87" i="7"/>
  <c r="IN87" i="7"/>
  <c r="IM87" i="7"/>
  <c r="IL87" i="7"/>
  <c r="IK87" i="7"/>
  <c r="IJ87" i="7"/>
  <c r="II87" i="7"/>
  <c r="IH87" i="7"/>
  <c r="IG87" i="7"/>
  <c r="IF87" i="7"/>
  <c r="IE87" i="7"/>
  <c r="ID87" i="7"/>
  <c r="IC87" i="7"/>
  <c r="IB87" i="7"/>
  <c r="IA87" i="7"/>
  <c r="HZ87" i="7"/>
  <c r="HY87" i="7"/>
  <c r="HX87" i="7"/>
  <c r="HW87" i="7"/>
  <c r="HV87" i="7"/>
  <c r="HU87" i="7"/>
  <c r="HT87" i="7"/>
  <c r="HS87" i="7"/>
  <c r="HR87" i="7"/>
  <c r="HQ87" i="7"/>
  <c r="HP87" i="7"/>
  <c r="HO87" i="7"/>
  <c r="HN87" i="7"/>
  <c r="HM87" i="7"/>
  <c r="HL87" i="7"/>
  <c r="HK87" i="7"/>
  <c r="HJ87" i="7"/>
  <c r="HI87" i="7"/>
  <c r="HH87" i="7"/>
  <c r="HG87" i="7"/>
  <c r="HF87" i="7"/>
  <c r="HE87" i="7"/>
  <c r="HD87" i="7"/>
  <c r="HC87" i="7"/>
  <c r="HB87" i="7"/>
  <c r="HA87" i="7"/>
  <c r="GZ87" i="7"/>
  <c r="GY87" i="7"/>
  <c r="GX87" i="7"/>
  <c r="GW87" i="7"/>
  <c r="GV87" i="7"/>
  <c r="GU87" i="7"/>
  <c r="GT87" i="7"/>
  <c r="GS87" i="7"/>
  <c r="GR87" i="7"/>
  <c r="GQ87" i="7"/>
  <c r="GP87" i="7"/>
  <c r="GO87" i="7"/>
  <c r="GN87" i="7"/>
  <c r="GM87" i="7"/>
  <c r="GL87" i="7"/>
  <c r="GK87" i="7"/>
  <c r="GJ87" i="7"/>
  <c r="GI87" i="7"/>
  <c r="GH87" i="7"/>
  <c r="GG87" i="7"/>
  <c r="GF87" i="7"/>
  <c r="GE87" i="7"/>
  <c r="GD87" i="7"/>
  <c r="GC87" i="7"/>
  <c r="GB87" i="7"/>
  <c r="GA87" i="7"/>
  <c r="FZ87" i="7"/>
  <c r="FY87" i="7"/>
  <c r="FX87" i="7"/>
  <c r="FW87" i="7"/>
  <c r="FV87" i="7"/>
  <c r="FU87" i="7"/>
  <c r="FT87" i="7"/>
  <c r="FS87" i="7"/>
  <c r="FR87" i="7"/>
  <c r="FQ87" i="7"/>
  <c r="FP87" i="7"/>
  <c r="FO87" i="7"/>
  <c r="FN87" i="7"/>
  <c r="FM87" i="7"/>
  <c r="FL87" i="7"/>
  <c r="FK87" i="7"/>
  <c r="FJ87" i="7"/>
  <c r="FI87" i="7"/>
  <c r="FH87" i="7"/>
  <c r="FG87" i="7"/>
  <c r="FF87" i="7"/>
  <c r="FE87" i="7"/>
  <c r="FD87" i="7"/>
  <c r="FC87" i="7"/>
  <c r="FB87" i="7"/>
  <c r="FA87" i="7"/>
  <c r="EZ87" i="7"/>
  <c r="EY87" i="7"/>
  <c r="EX87" i="7"/>
  <c r="EW87" i="7"/>
  <c r="EV87" i="7"/>
  <c r="EU87" i="7"/>
  <c r="ET87" i="7"/>
  <c r="ES87" i="7"/>
  <c r="ER87" i="7"/>
  <c r="EQ87" i="7"/>
  <c r="EP87" i="7"/>
  <c r="EO87" i="7"/>
  <c r="EN87" i="7"/>
  <c r="EM87" i="7"/>
  <c r="EL87" i="7"/>
  <c r="EK87" i="7"/>
  <c r="EJ87" i="7"/>
  <c r="EI87" i="7"/>
  <c r="EH87" i="7"/>
  <c r="EG87" i="7"/>
  <c r="EF87" i="7"/>
  <c r="EE87" i="7"/>
  <c r="ED87" i="7"/>
  <c r="EC87" i="7"/>
  <c r="EB87" i="7"/>
  <c r="EA87" i="7"/>
  <c r="DZ87" i="7"/>
  <c r="DY87" i="7"/>
  <c r="DX87" i="7"/>
  <c r="DW87" i="7"/>
  <c r="DV87" i="7"/>
  <c r="DU87" i="7"/>
  <c r="DT87" i="7"/>
  <c r="DS87" i="7"/>
  <c r="DR87" i="7"/>
  <c r="DQ87" i="7"/>
  <c r="DP87" i="7"/>
  <c r="DO87" i="7"/>
  <c r="DN87" i="7"/>
  <c r="DM87" i="7"/>
  <c r="DL87" i="7"/>
  <c r="DK87" i="7"/>
  <c r="DJ87" i="7"/>
  <c r="DI87" i="7"/>
  <c r="DH87" i="7"/>
  <c r="DG87" i="7"/>
  <c r="DF87" i="7"/>
  <c r="DE87" i="7"/>
  <c r="DD87" i="7"/>
  <c r="DC87" i="7"/>
  <c r="DB87" i="7"/>
  <c r="DA87" i="7"/>
  <c r="CZ87" i="7"/>
  <c r="CY87" i="7"/>
  <c r="CX87" i="7"/>
  <c r="CW87" i="7"/>
  <c r="CV87" i="7"/>
  <c r="CU87" i="7"/>
  <c r="CT87" i="7"/>
  <c r="CS87" i="7"/>
  <c r="CR87" i="7"/>
  <c r="CQ87" i="7"/>
  <c r="CP87" i="7"/>
  <c r="CO87" i="7"/>
  <c r="CN87" i="7"/>
  <c r="CM87" i="7"/>
  <c r="CL87" i="7"/>
  <c r="CK87" i="7"/>
  <c r="CJ87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C87" i="7"/>
  <c r="B87" i="7"/>
  <c r="A87" i="7"/>
  <c r="IV86" i="7"/>
  <c r="IU86" i="7"/>
  <c r="IT86" i="7"/>
  <c r="IS86" i="7"/>
  <c r="IR86" i="7"/>
  <c r="IQ86" i="7"/>
  <c r="IP86" i="7"/>
  <c r="IO86" i="7"/>
  <c r="IN86" i="7"/>
  <c r="IM86" i="7"/>
  <c r="IL86" i="7"/>
  <c r="IK86" i="7"/>
  <c r="IJ86" i="7"/>
  <c r="II86" i="7"/>
  <c r="IH86" i="7"/>
  <c r="IG86" i="7"/>
  <c r="IF86" i="7"/>
  <c r="IE86" i="7"/>
  <c r="ID86" i="7"/>
  <c r="IC86" i="7"/>
  <c r="IB86" i="7"/>
  <c r="IA86" i="7"/>
  <c r="HZ86" i="7"/>
  <c r="HY86" i="7"/>
  <c r="HX86" i="7"/>
  <c r="HW86" i="7"/>
  <c r="HV86" i="7"/>
  <c r="HU86" i="7"/>
  <c r="HT86" i="7"/>
  <c r="HS86" i="7"/>
  <c r="HR86" i="7"/>
  <c r="HQ86" i="7"/>
  <c r="HP86" i="7"/>
  <c r="HO86" i="7"/>
  <c r="HN86" i="7"/>
  <c r="HM86" i="7"/>
  <c r="HL86" i="7"/>
  <c r="HK86" i="7"/>
  <c r="HJ86" i="7"/>
  <c r="HI86" i="7"/>
  <c r="HH86" i="7"/>
  <c r="HG86" i="7"/>
  <c r="HF86" i="7"/>
  <c r="HE86" i="7"/>
  <c r="HD86" i="7"/>
  <c r="HC86" i="7"/>
  <c r="HB86" i="7"/>
  <c r="HA86" i="7"/>
  <c r="GZ86" i="7"/>
  <c r="GY86" i="7"/>
  <c r="GX86" i="7"/>
  <c r="GW86" i="7"/>
  <c r="GV86" i="7"/>
  <c r="GU86" i="7"/>
  <c r="GT86" i="7"/>
  <c r="GS86" i="7"/>
  <c r="GR86" i="7"/>
  <c r="GQ86" i="7"/>
  <c r="GP86" i="7"/>
  <c r="GO86" i="7"/>
  <c r="GN86" i="7"/>
  <c r="GM86" i="7"/>
  <c r="GL86" i="7"/>
  <c r="GK86" i="7"/>
  <c r="GJ86" i="7"/>
  <c r="GI86" i="7"/>
  <c r="GH86" i="7"/>
  <c r="GG86" i="7"/>
  <c r="GF86" i="7"/>
  <c r="GE86" i="7"/>
  <c r="GD86" i="7"/>
  <c r="GC86" i="7"/>
  <c r="GB86" i="7"/>
  <c r="GA86" i="7"/>
  <c r="FZ86" i="7"/>
  <c r="FY86" i="7"/>
  <c r="FX86" i="7"/>
  <c r="FW86" i="7"/>
  <c r="FV86" i="7"/>
  <c r="FU86" i="7"/>
  <c r="FT86" i="7"/>
  <c r="FS86" i="7"/>
  <c r="FR86" i="7"/>
  <c r="FQ86" i="7"/>
  <c r="FP86" i="7"/>
  <c r="FO86" i="7"/>
  <c r="FN86" i="7"/>
  <c r="FM86" i="7"/>
  <c r="FL86" i="7"/>
  <c r="FK86" i="7"/>
  <c r="FJ86" i="7"/>
  <c r="FI86" i="7"/>
  <c r="FH86" i="7"/>
  <c r="FG86" i="7"/>
  <c r="FF86" i="7"/>
  <c r="FE86" i="7"/>
  <c r="FD86" i="7"/>
  <c r="FC86" i="7"/>
  <c r="FB86" i="7"/>
  <c r="FA86" i="7"/>
  <c r="EZ86" i="7"/>
  <c r="EY86" i="7"/>
  <c r="EX86" i="7"/>
  <c r="EW86" i="7"/>
  <c r="EV86" i="7"/>
  <c r="EU86" i="7"/>
  <c r="ET86" i="7"/>
  <c r="ES86" i="7"/>
  <c r="ER86" i="7"/>
  <c r="EQ86" i="7"/>
  <c r="EP86" i="7"/>
  <c r="EO86" i="7"/>
  <c r="EN86" i="7"/>
  <c r="EM86" i="7"/>
  <c r="EL86" i="7"/>
  <c r="EK86" i="7"/>
  <c r="EJ86" i="7"/>
  <c r="EI86" i="7"/>
  <c r="EH86" i="7"/>
  <c r="EG86" i="7"/>
  <c r="EF86" i="7"/>
  <c r="EE86" i="7"/>
  <c r="ED86" i="7"/>
  <c r="EC86" i="7"/>
  <c r="EB86" i="7"/>
  <c r="EA86" i="7"/>
  <c r="DZ86" i="7"/>
  <c r="DY86" i="7"/>
  <c r="DX86" i="7"/>
  <c r="DW86" i="7"/>
  <c r="DV86" i="7"/>
  <c r="DU86" i="7"/>
  <c r="DT86" i="7"/>
  <c r="DS86" i="7"/>
  <c r="DR86" i="7"/>
  <c r="DQ86" i="7"/>
  <c r="DP86" i="7"/>
  <c r="DO86" i="7"/>
  <c r="DN86" i="7"/>
  <c r="DM86" i="7"/>
  <c r="DL86" i="7"/>
  <c r="DK86" i="7"/>
  <c r="DJ86" i="7"/>
  <c r="DI86" i="7"/>
  <c r="DH86" i="7"/>
  <c r="DG86" i="7"/>
  <c r="DF86" i="7"/>
  <c r="DE86" i="7"/>
  <c r="DD86" i="7"/>
  <c r="DC86" i="7"/>
  <c r="DB86" i="7"/>
  <c r="DA86" i="7"/>
  <c r="CZ86" i="7"/>
  <c r="CY86" i="7"/>
  <c r="CX86" i="7"/>
  <c r="CW86" i="7"/>
  <c r="CV86" i="7"/>
  <c r="CU86" i="7"/>
  <c r="CT86" i="7"/>
  <c r="CS86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F86" i="7"/>
  <c r="CE86" i="7"/>
  <c r="CD86" i="7"/>
  <c r="CC86" i="7"/>
  <c r="CB86" i="7"/>
  <c r="CA86" i="7"/>
  <c r="BZ86" i="7"/>
  <c r="BY86" i="7"/>
  <c r="BX86" i="7"/>
  <c r="BW86" i="7"/>
  <c r="BV86" i="7"/>
  <c r="BU86" i="7"/>
  <c r="BT86" i="7"/>
  <c r="BS86" i="7"/>
  <c r="BR86" i="7"/>
  <c r="BQ86" i="7"/>
  <c r="BP86" i="7"/>
  <c r="BO86" i="7"/>
  <c r="BN86" i="7"/>
  <c r="BM86" i="7"/>
  <c r="BL86" i="7"/>
  <c r="BK86" i="7"/>
  <c r="BJ86" i="7"/>
  <c r="BI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86" i="7"/>
  <c r="IV85" i="7"/>
  <c r="IU85" i="7"/>
  <c r="IT85" i="7"/>
  <c r="IS85" i="7"/>
  <c r="IR85" i="7"/>
  <c r="IQ85" i="7"/>
  <c r="IP85" i="7"/>
  <c r="IO85" i="7"/>
  <c r="IN85" i="7"/>
  <c r="IM85" i="7"/>
  <c r="IL85" i="7"/>
  <c r="IK85" i="7"/>
  <c r="IJ85" i="7"/>
  <c r="II85" i="7"/>
  <c r="IH85" i="7"/>
  <c r="IG85" i="7"/>
  <c r="IF85" i="7"/>
  <c r="IE85" i="7"/>
  <c r="ID85" i="7"/>
  <c r="IC85" i="7"/>
  <c r="IB85" i="7"/>
  <c r="IA85" i="7"/>
  <c r="HZ85" i="7"/>
  <c r="HY85" i="7"/>
  <c r="HX85" i="7"/>
  <c r="HW85" i="7"/>
  <c r="HV85" i="7"/>
  <c r="HU85" i="7"/>
  <c r="HT85" i="7"/>
  <c r="HS85" i="7"/>
  <c r="HR85" i="7"/>
  <c r="HQ85" i="7"/>
  <c r="HP85" i="7"/>
  <c r="HO85" i="7"/>
  <c r="HN85" i="7"/>
  <c r="HM85" i="7"/>
  <c r="HL85" i="7"/>
  <c r="HK85" i="7"/>
  <c r="HJ85" i="7"/>
  <c r="HI85" i="7"/>
  <c r="HH85" i="7"/>
  <c r="HG85" i="7"/>
  <c r="HF85" i="7"/>
  <c r="HE85" i="7"/>
  <c r="HD85" i="7"/>
  <c r="HC85" i="7"/>
  <c r="HB85" i="7"/>
  <c r="HA85" i="7"/>
  <c r="GZ85" i="7"/>
  <c r="GY85" i="7"/>
  <c r="GX85" i="7"/>
  <c r="GW85" i="7"/>
  <c r="GV85" i="7"/>
  <c r="GU85" i="7"/>
  <c r="GT85" i="7"/>
  <c r="GS85" i="7"/>
  <c r="GR85" i="7"/>
  <c r="GQ85" i="7"/>
  <c r="GP85" i="7"/>
  <c r="GO85" i="7"/>
  <c r="GN85" i="7"/>
  <c r="GM85" i="7"/>
  <c r="GL85" i="7"/>
  <c r="GK85" i="7"/>
  <c r="GJ85" i="7"/>
  <c r="GI85" i="7"/>
  <c r="GH85" i="7"/>
  <c r="GG85" i="7"/>
  <c r="GF85" i="7"/>
  <c r="GE85" i="7"/>
  <c r="GD85" i="7"/>
  <c r="GC85" i="7"/>
  <c r="GB85" i="7"/>
  <c r="GA85" i="7"/>
  <c r="FZ85" i="7"/>
  <c r="FY85" i="7"/>
  <c r="FX85" i="7"/>
  <c r="FW85" i="7"/>
  <c r="FV85" i="7"/>
  <c r="FU85" i="7"/>
  <c r="FT85" i="7"/>
  <c r="FS85" i="7"/>
  <c r="FR85" i="7"/>
  <c r="FQ85" i="7"/>
  <c r="FP85" i="7"/>
  <c r="FO85" i="7"/>
  <c r="FN85" i="7"/>
  <c r="FM85" i="7"/>
  <c r="FL85" i="7"/>
  <c r="FK85" i="7"/>
  <c r="FJ85" i="7"/>
  <c r="FI85" i="7"/>
  <c r="FH85" i="7"/>
  <c r="FG85" i="7"/>
  <c r="FF85" i="7"/>
  <c r="FE85" i="7"/>
  <c r="FD85" i="7"/>
  <c r="FC85" i="7"/>
  <c r="FB85" i="7"/>
  <c r="FA85" i="7"/>
  <c r="EZ85" i="7"/>
  <c r="EY85" i="7"/>
  <c r="EX85" i="7"/>
  <c r="EW85" i="7"/>
  <c r="EV85" i="7"/>
  <c r="EU85" i="7"/>
  <c r="ET85" i="7"/>
  <c r="ES85" i="7"/>
  <c r="ER85" i="7"/>
  <c r="EQ85" i="7"/>
  <c r="EP85" i="7"/>
  <c r="EO85" i="7"/>
  <c r="EN85" i="7"/>
  <c r="EM85" i="7"/>
  <c r="EL85" i="7"/>
  <c r="EK85" i="7"/>
  <c r="EJ85" i="7"/>
  <c r="EI85" i="7"/>
  <c r="EH85" i="7"/>
  <c r="EG85" i="7"/>
  <c r="EF85" i="7"/>
  <c r="EE85" i="7"/>
  <c r="ED85" i="7"/>
  <c r="EC85" i="7"/>
  <c r="EB85" i="7"/>
  <c r="EA85" i="7"/>
  <c r="DZ85" i="7"/>
  <c r="DY85" i="7"/>
  <c r="DX85" i="7"/>
  <c r="DW85" i="7"/>
  <c r="DV85" i="7"/>
  <c r="DU85" i="7"/>
  <c r="DT85" i="7"/>
  <c r="DS85" i="7"/>
  <c r="DR85" i="7"/>
  <c r="DQ85" i="7"/>
  <c r="DP85" i="7"/>
  <c r="DO85" i="7"/>
  <c r="DN85" i="7"/>
  <c r="DM85" i="7"/>
  <c r="DL85" i="7"/>
  <c r="DK85" i="7"/>
  <c r="DJ85" i="7"/>
  <c r="DI85" i="7"/>
  <c r="DH85" i="7"/>
  <c r="DG85" i="7"/>
  <c r="DF85" i="7"/>
  <c r="DE85" i="7"/>
  <c r="DD85" i="7"/>
  <c r="DC85" i="7"/>
  <c r="DB85" i="7"/>
  <c r="DA85" i="7"/>
  <c r="CZ85" i="7"/>
  <c r="CY85" i="7"/>
  <c r="CX85" i="7"/>
  <c r="CW85" i="7"/>
  <c r="CV85" i="7"/>
  <c r="CU85" i="7"/>
  <c r="CT85" i="7"/>
  <c r="CS85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CB85" i="7"/>
  <c r="CA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M85" i="7"/>
  <c r="BL85" i="7"/>
  <c r="BK85" i="7"/>
  <c r="BJ85" i="7"/>
  <c r="BI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R85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C85" i="7"/>
  <c r="B85" i="7"/>
  <c r="A85" i="7"/>
  <c r="IV84" i="7"/>
  <c r="IU84" i="7"/>
  <c r="IT84" i="7"/>
  <c r="IS84" i="7"/>
  <c r="IR84" i="7"/>
  <c r="IQ84" i="7"/>
  <c r="IP84" i="7"/>
  <c r="IO84" i="7"/>
  <c r="IN84" i="7"/>
  <c r="IM84" i="7"/>
  <c r="IL84" i="7"/>
  <c r="IK84" i="7"/>
  <c r="IJ84" i="7"/>
  <c r="II84" i="7"/>
  <c r="IH84" i="7"/>
  <c r="IG84" i="7"/>
  <c r="IF84" i="7"/>
  <c r="IE84" i="7"/>
  <c r="ID84" i="7"/>
  <c r="IC84" i="7"/>
  <c r="IB84" i="7"/>
  <c r="IA84" i="7"/>
  <c r="HZ84" i="7"/>
  <c r="HY84" i="7"/>
  <c r="HX84" i="7"/>
  <c r="HW84" i="7"/>
  <c r="HV84" i="7"/>
  <c r="HU84" i="7"/>
  <c r="HT84" i="7"/>
  <c r="HS84" i="7"/>
  <c r="HR84" i="7"/>
  <c r="HQ84" i="7"/>
  <c r="HP84" i="7"/>
  <c r="HO84" i="7"/>
  <c r="HN84" i="7"/>
  <c r="HM84" i="7"/>
  <c r="HL84" i="7"/>
  <c r="HK84" i="7"/>
  <c r="HJ84" i="7"/>
  <c r="HI84" i="7"/>
  <c r="HH84" i="7"/>
  <c r="HG84" i="7"/>
  <c r="HF84" i="7"/>
  <c r="HE84" i="7"/>
  <c r="HD84" i="7"/>
  <c r="HC84" i="7"/>
  <c r="HB84" i="7"/>
  <c r="HA84" i="7"/>
  <c r="GZ84" i="7"/>
  <c r="GY84" i="7"/>
  <c r="GX84" i="7"/>
  <c r="GW84" i="7"/>
  <c r="GV84" i="7"/>
  <c r="GU84" i="7"/>
  <c r="GT84" i="7"/>
  <c r="GS84" i="7"/>
  <c r="GR84" i="7"/>
  <c r="GQ84" i="7"/>
  <c r="GP84" i="7"/>
  <c r="GO84" i="7"/>
  <c r="GN84" i="7"/>
  <c r="GM84" i="7"/>
  <c r="GL84" i="7"/>
  <c r="GK84" i="7"/>
  <c r="GJ84" i="7"/>
  <c r="GI84" i="7"/>
  <c r="GH84" i="7"/>
  <c r="GG84" i="7"/>
  <c r="GF84" i="7"/>
  <c r="GE84" i="7"/>
  <c r="GD84" i="7"/>
  <c r="GC84" i="7"/>
  <c r="GB84" i="7"/>
  <c r="GA84" i="7"/>
  <c r="FZ84" i="7"/>
  <c r="FY84" i="7"/>
  <c r="FX84" i="7"/>
  <c r="FW84" i="7"/>
  <c r="FV84" i="7"/>
  <c r="FU84" i="7"/>
  <c r="FT84" i="7"/>
  <c r="FS84" i="7"/>
  <c r="FR84" i="7"/>
  <c r="FQ84" i="7"/>
  <c r="FP84" i="7"/>
  <c r="FO84" i="7"/>
  <c r="FN84" i="7"/>
  <c r="FM84" i="7"/>
  <c r="FL84" i="7"/>
  <c r="FK84" i="7"/>
  <c r="FJ84" i="7"/>
  <c r="FI84" i="7"/>
  <c r="FH84" i="7"/>
  <c r="FG84" i="7"/>
  <c r="FF84" i="7"/>
  <c r="FE84" i="7"/>
  <c r="FD84" i="7"/>
  <c r="FC84" i="7"/>
  <c r="FB84" i="7"/>
  <c r="FA84" i="7"/>
  <c r="EZ84" i="7"/>
  <c r="EY84" i="7"/>
  <c r="EX84" i="7"/>
  <c r="EW84" i="7"/>
  <c r="EV84" i="7"/>
  <c r="EU84" i="7"/>
  <c r="ET84" i="7"/>
  <c r="ES84" i="7"/>
  <c r="ER84" i="7"/>
  <c r="EQ84" i="7"/>
  <c r="EP84" i="7"/>
  <c r="EO84" i="7"/>
  <c r="EN84" i="7"/>
  <c r="EM84" i="7"/>
  <c r="EL84" i="7"/>
  <c r="EK84" i="7"/>
  <c r="EJ84" i="7"/>
  <c r="EI84" i="7"/>
  <c r="EH84" i="7"/>
  <c r="EG84" i="7"/>
  <c r="EF84" i="7"/>
  <c r="EE84" i="7"/>
  <c r="ED84" i="7"/>
  <c r="EC84" i="7"/>
  <c r="EB84" i="7"/>
  <c r="EA84" i="7"/>
  <c r="DZ84" i="7"/>
  <c r="DY84" i="7"/>
  <c r="DX84" i="7"/>
  <c r="DW84" i="7"/>
  <c r="DV84" i="7"/>
  <c r="DU84" i="7"/>
  <c r="DT84" i="7"/>
  <c r="DS84" i="7"/>
  <c r="DR84" i="7"/>
  <c r="DQ84" i="7"/>
  <c r="DP84" i="7"/>
  <c r="DO84" i="7"/>
  <c r="DN84" i="7"/>
  <c r="DM84" i="7"/>
  <c r="DL84" i="7"/>
  <c r="DK84" i="7"/>
  <c r="DJ84" i="7"/>
  <c r="DI84" i="7"/>
  <c r="DH84" i="7"/>
  <c r="DG84" i="7"/>
  <c r="DF84" i="7"/>
  <c r="DE84" i="7"/>
  <c r="DD84" i="7"/>
  <c r="DC84" i="7"/>
  <c r="DB84" i="7"/>
  <c r="DA84" i="7"/>
  <c r="CZ84" i="7"/>
  <c r="CY84" i="7"/>
  <c r="CX84" i="7"/>
  <c r="CW84" i="7"/>
  <c r="CV84" i="7"/>
  <c r="CU84" i="7"/>
  <c r="CT84" i="7"/>
  <c r="CS84" i="7"/>
  <c r="CR84" i="7"/>
  <c r="CQ84" i="7"/>
  <c r="CP84" i="7"/>
  <c r="CO84" i="7"/>
  <c r="CN84" i="7"/>
  <c r="CM84" i="7"/>
  <c r="CL84" i="7"/>
  <c r="CK84" i="7"/>
  <c r="CJ84" i="7"/>
  <c r="CI84" i="7"/>
  <c r="CH84" i="7"/>
  <c r="CG84" i="7"/>
  <c r="CF84" i="7"/>
  <c r="CE84" i="7"/>
  <c r="CD84" i="7"/>
  <c r="CC84" i="7"/>
  <c r="CB84" i="7"/>
  <c r="CA84" i="7"/>
  <c r="BZ84" i="7"/>
  <c r="BY84" i="7"/>
  <c r="BX84" i="7"/>
  <c r="BW84" i="7"/>
  <c r="BV84" i="7"/>
  <c r="BU84" i="7"/>
  <c r="BT84" i="7"/>
  <c r="BS84" i="7"/>
  <c r="BR84" i="7"/>
  <c r="BQ84" i="7"/>
  <c r="BP84" i="7"/>
  <c r="BO84" i="7"/>
  <c r="BN84" i="7"/>
  <c r="BM84" i="7"/>
  <c r="BL84" i="7"/>
  <c r="BK84" i="7"/>
  <c r="BJ84" i="7"/>
  <c r="BI84" i="7"/>
  <c r="BH84" i="7"/>
  <c r="BG84" i="7"/>
  <c r="BF84" i="7"/>
  <c r="BE84" i="7"/>
  <c r="BD84" i="7"/>
  <c r="BC84" i="7"/>
  <c r="BB84" i="7"/>
  <c r="BA84" i="7"/>
  <c r="AZ84" i="7"/>
  <c r="AY84" i="7"/>
  <c r="AX84" i="7"/>
  <c r="AW84" i="7"/>
  <c r="AV84" i="7"/>
  <c r="AU84" i="7"/>
  <c r="AT84" i="7"/>
  <c r="AS84" i="7"/>
  <c r="AR84" i="7"/>
  <c r="AQ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Z84" i="7"/>
  <c r="Y84" i="7"/>
  <c r="X84" i="7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A84" i="7"/>
  <c r="IV83" i="7"/>
  <c r="IU83" i="7"/>
  <c r="IT83" i="7"/>
  <c r="IS83" i="7"/>
  <c r="IR83" i="7"/>
  <c r="IQ83" i="7"/>
  <c r="IP83" i="7"/>
  <c r="IO83" i="7"/>
  <c r="IN83" i="7"/>
  <c r="IM83" i="7"/>
  <c r="IL83" i="7"/>
  <c r="IK83" i="7"/>
  <c r="IJ83" i="7"/>
  <c r="II83" i="7"/>
  <c r="IH83" i="7"/>
  <c r="IG83" i="7"/>
  <c r="IF83" i="7"/>
  <c r="IE83" i="7"/>
  <c r="ID83" i="7"/>
  <c r="IC83" i="7"/>
  <c r="IB83" i="7"/>
  <c r="IA83" i="7"/>
  <c r="HZ83" i="7"/>
  <c r="HY83" i="7"/>
  <c r="HX83" i="7"/>
  <c r="HW83" i="7"/>
  <c r="HV83" i="7"/>
  <c r="HU83" i="7"/>
  <c r="HT83" i="7"/>
  <c r="HS83" i="7"/>
  <c r="HR83" i="7"/>
  <c r="HQ83" i="7"/>
  <c r="HP83" i="7"/>
  <c r="HO83" i="7"/>
  <c r="HN83" i="7"/>
  <c r="HM83" i="7"/>
  <c r="HL83" i="7"/>
  <c r="HK83" i="7"/>
  <c r="HJ83" i="7"/>
  <c r="HI83" i="7"/>
  <c r="HH83" i="7"/>
  <c r="HG83" i="7"/>
  <c r="HF83" i="7"/>
  <c r="HE83" i="7"/>
  <c r="HD83" i="7"/>
  <c r="HC83" i="7"/>
  <c r="HB83" i="7"/>
  <c r="HA83" i="7"/>
  <c r="GZ83" i="7"/>
  <c r="GY83" i="7"/>
  <c r="GX83" i="7"/>
  <c r="GW83" i="7"/>
  <c r="GV83" i="7"/>
  <c r="GU83" i="7"/>
  <c r="GT83" i="7"/>
  <c r="GS83" i="7"/>
  <c r="GR83" i="7"/>
  <c r="GQ83" i="7"/>
  <c r="GP83" i="7"/>
  <c r="GO83" i="7"/>
  <c r="GN83" i="7"/>
  <c r="GM83" i="7"/>
  <c r="GL83" i="7"/>
  <c r="GK83" i="7"/>
  <c r="GJ83" i="7"/>
  <c r="GI83" i="7"/>
  <c r="GH83" i="7"/>
  <c r="GG83" i="7"/>
  <c r="GF83" i="7"/>
  <c r="GE83" i="7"/>
  <c r="GD83" i="7"/>
  <c r="GC83" i="7"/>
  <c r="GB83" i="7"/>
  <c r="GA83" i="7"/>
  <c r="FZ83" i="7"/>
  <c r="FY83" i="7"/>
  <c r="FX83" i="7"/>
  <c r="FW83" i="7"/>
  <c r="FV83" i="7"/>
  <c r="FU83" i="7"/>
  <c r="FT83" i="7"/>
  <c r="FS83" i="7"/>
  <c r="FR83" i="7"/>
  <c r="FQ83" i="7"/>
  <c r="FP83" i="7"/>
  <c r="FO83" i="7"/>
  <c r="FN83" i="7"/>
  <c r="FM83" i="7"/>
  <c r="FL83" i="7"/>
  <c r="FK83" i="7"/>
  <c r="FJ83" i="7"/>
  <c r="FI83" i="7"/>
  <c r="FH83" i="7"/>
  <c r="FG83" i="7"/>
  <c r="FF83" i="7"/>
  <c r="FE83" i="7"/>
  <c r="FD83" i="7"/>
  <c r="FC83" i="7"/>
  <c r="FB83" i="7"/>
  <c r="FA83" i="7"/>
  <c r="EZ83" i="7"/>
  <c r="EY83" i="7"/>
  <c r="EX83" i="7"/>
  <c r="EW83" i="7"/>
  <c r="EV83" i="7"/>
  <c r="EU83" i="7"/>
  <c r="ET83" i="7"/>
  <c r="ES83" i="7"/>
  <c r="ER83" i="7"/>
  <c r="EQ83" i="7"/>
  <c r="EP83" i="7"/>
  <c r="EO83" i="7"/>
  <c r="EN83" i="7"/>
  <c r="EM83" i="7"/>
  <c r="EL83" i="7"/>
  <c r="EK83" i="7"/>
  <c r="EJ83" i="7"/>
  <c r="EI83" i="7"/>
  <c r="EH83" i="7"/>
  <c r="EG83" i="7"/>
  <c r="EF83" i="7"/>
  <c r="EE83" i="7"/>
  <c r="ED83" i="7"/>
  <c r="EC83" i="7"/>
  <c r="EB83" i="7"/>
  <c r="EA83" i="7"/>
  <c r="DZ83" i="7"/>
  <c r="DY83" i="7"/>
  <c r="DX83" i="7"/>
  <c r="DW83" i="7"/>
  <c r="DV83" i="7"/>
  <c r="DU83" i="7"/>
  <c r="DT83" i="7"/>
  <c r="DS83" i="7"/>
  <c r="DR83" i="7"/>
  <c r="DQ83" i="7"/>
  <c r="DP83" i="7"/>
  <c r="DO83" i="7"/>
  <c r="DN83" i="7"/>
  <c r="DM83" i="7"/>
  <c r="DL83" i="7"/>
  <c r="DK83" i="7"/>
  <c r="DJ83" i="7"/>
  <c r="DI83" i="7"/>
  <c r="DH83" i="7"/>
  <c r="DG83" i="7"/>
  <c r="DF83" i="7"/>
  <c r="DE83" i="7"/>
  <c r="DD83" i="7"/>
  <c r="DC83" i="7"/>
  <c r="DB83" i="7"/>
  <c r="DA83" i="7"/>
  <c r="CZ83" i="7"/>
  <c r="CY83" i="7"/>
  <c r="CX83" i="7"/>
  <c r="CW83" i="7"/>
  <c r="CV83" i="7"/>
  <c r="CU83" i="7"/>
  <c r="CT83" i="7"/>
  <c r="CS83" i="7"/>
  <c r="CR83" i="7"/>
  <c r="CQ83" i="7"/>
  <c r="CP83" i="7"/>
  <c r="CO83" i="7"/>
  <c r="CN83" i="7"/>
  <c r="CM83" i="7"/>
  <c r="CL83" i="7"/>
  <c r="CK83" i="7"/>
  <c r="CJ83" i="7"/>
  <c r="CI83" i="7"/>
  <c r="CH83" i="7"/>
  <c r="CG83" i="7"/>
  <c r="CF83" i="7"/>
  <c r="CE83" i="7"/>
  <c r="CD83" i="7"/>
  <c r="CC83" i="7"/>
  <c r="CB83" i="7"/>
  <c r="CA83" i="7"/>
  <c r="BZ83" i="7"/>
  <c r="BY83" i="7"/>
  <c r="BX83" i="7"/>
  <c r="BW83" i="7"/>
  <c r="BV83" i="7"/>
  <c r="BU83" i="7"/>
  <c r="BT83" i="7"/>
  <c r="BS83" i="7"/>
  <c r="BR83" i="7"/>
  <c r="BQ83" i="7"/>
  <c r="BP83" i="7"/>
  <c r="BO83" i="7"/>
  <c r="BN83" i="7"/>
  <c r="BM83" i="7"/>
  <c r="BL83" i="7"/>
  <c r="BK83" i="7"/>
  <c r="BJ83" i="7"/>
  <c r="BI83" i="7"/>
  <c r="BH83" i="7"/>
  <c r="BG83" i="7"/>
  <c r="BF83" i="7"/>
  <c r="BE83" i="7"/>
  <c r="BD83" i="7"/>
  <c r="BC83" i="7"/>
  <c r="BB83" i="7"/>
  <c r="BA83" i="7"/>
  <c r="AZ83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83" i="7"/>
  <c r="IV82" i="7"/>
  <c r="IU82" i="7"/>
  <c r="IT82" i="7"/>
  <c r="IS82" i="7"/>
  <c r="IR82" i="7"/>
  <c r="IQ82" i="7"/>
  <c r="IP82" i="7"/>
  <c r="IO82" i="7"/>
  <c r="IN82" i="7"/>
  <c r="IM82" i="7"/>
  <c r="IL82" i="7"/>
  <c r="IK82" i="7"/>
  <c r="IJ82" i="7"/>
  <c r="II82" i="7"/>
  <c r="IH82" i="7"/>
  <c r="IG82" i="7"/>
  <c r="IF82" i="7"/>
  <c r="IE82" i="7"/>
  <c r="ID82" i="7"/>
  <c r="IC82" i="7"/>
  <c r="IB82" i="7"/>
  <c r="IA82" i="7"/>
  <c r="HZ82" i="7"/>
  <c r="HY82" i="7"/>
  <c r="HX82" i="7"/>
  <c r="HW82" i="7"/>
  <c r="HV82" i="7"/>
  <c r="HU82" i="7"/>
  <c r="HT82" i="7"/>
  <c r="HS82" i="7"/>
  <c r="HR82" i="7"/>
  <c r="HQ82" i="7"/>
  <c r="HP82" i="7"/>
  <c r="HO82" i="7"/>
  <c r="HN82" i="7"/>
  <c r="HM82" i="7"/>
  <c r="HL82" i="7"/>
  <c r="HK82" i="7"/>
  <c r="HJ82" i="7"/>
  <c r="HI82" i="7"/>
  <c r="HH82" i="7"/>
  <c r="HG82" i="7"/>
  <c r="HF82" i="7"/>
  <c r="HE82" i="7"/>
  <c r="HD82" i="7"/>
  <c r="HC82" i="7"/>
  <c r="HB82" i="7"/>
  <c r="HA82" i="7"/>
  <c r="GZ82" i="7"/>
  <c r="GY82" i="7"/>
  <c r="GX82" i="7"/>
  <c r="GW82" i="7"/>
  <c r="GV82" i="7"/>
  <c r="GU82" i="7"/>
  <c r="GT82" i="7"/>
  <c r="GS82" i="7"/>
  <c r="GR82" i="7"/>
  <c r="GQ82" i="7"/>
  <c r="GP82" i="7"/>
  <c r="GO82" i="7"/>
  <c r="GN82" i="7"/>
  <c r="GM82" i="7"/>
  <c r="GL82" i="7"/>
  <c r="GK82" i="7"/>
  <c r="GJ82" i="7"/>
  <c r="GI82" i="7"/>
  <c r="GH82" i="7"/>
  <c r="GG82" i="7"/>
  <c r="GF82" i="7"/>
  <c r="GE82" i="7"/>
  <c r="GD82" i="7"/>
  <c r="GC82" i="7"/>
  <c r="GB82" i="7"/>
  <c r="GA82" i="7"/>
  <c r="FZ82" i="7"/>
  <c r="FY82" i="7"/>
  <c r="FX82" i="7"/>
  <c r="FW82" i="7"/>
  <c r="FV82" i="7"/>
  <c r="FU82" i="7"/>
  <c r="FT82" i="7"/>
  <c r="FS82" i="7"/>
  <c r="FR82" i="7"/>
  <c r="FQ82" i="7"/>
  <c r="FP82" i="7"/>
  <c r="FO82" i="7"/>
  <c r="FN82" i="7"/>
  <c r="FM82" i="7"/>
  <c r="FL82" i="7"/>
  <c r="FK82" i="7"/>
  <c r="FJ82" i="7"/>
  <c r="FI82" i="7"/>
  <c r="FH82" i="7"/>
  <c r="FG82" i="7"/>
  <c r="FF82" i="7"/>
  <c r="FE82" i="7"/>
  <c r="FD82" i="7"/>
  <c r="FC82" i="7"/>
  <c r="FB82" i="7"/>
  <c r="FA82" i="7"/>
  <c r="EZ82" i="7"/>
  <c r="EY82" i="7"/>
  <c r="EX82" i="7"/>
  <c r="EW82" i="7"/>
  <c r="EV82" i="7"/>
  <c r="EU82" i="7"/>
  <c r="ET82" i="7"/>
  <c r="ES82" i="7"/>
  <c r="ER82" i="7"/>
  <c r="EQ82" i="7"/>
  <c r="EP82" i="7"/>
  <c r="EO82" i="7"/>
  <c r="EN82" i="7"/>
  <c r="EM82" i="7"/>
  <c r="EL82" i="7"/>
  <c r="EK82" i="7"/>
  <c r="EJ82" i="7"/>
  <c r="EI82" i="7"/>
  <c r="EH82" i="7"/>
  <c r="EG82" i="7"/>
  <c r="EF82" i="7"/>
  <c r="EE82" i="7"/>
  <c r="ED82" i="7"/>
  <c r="EC82" i="7"/>
  <c r="EB82" i="7"/>
  <c r="EA82" i="7"/>
  <c r="DZ82" i="7"/>
  <c r="DY82" i="7"/>
  <c r="DX82" i="7"/>
  <c r="DW82" i="7"/>
  <c r="DV82" i="7"/>
  <c r="DU82" i="7"/>
  <c r="DT82" i="7"/>
  <c r="DS82" i="7"/>
  <c r="DR82" i="7"/>
  <c r="DQ82" i="7"/>
  <c r="DP82" i="7"/>
  <c r="DO82" i="7"/>
  <c r="DN82" i="7"/>
  <c r="DM82" i="7"/>
  <c r="DL82" i="7"/>
  <c r="DK82" i="7"/>
  <c r="DJ82" i="7"/>
  <c r="DI82" i="7"/>
  <c r="DH82" i="7"/>
  <c r="DG82" i="7"/>
  <c r="DF82" i="7"/>
  <c r="DE82" i="7"/>
  <c r="DD82" i="7"/>
  <c r="DC82" i="7"/>
  <c r="DB82" i="7"/>
  <c r="DA82" i="7"/>
  <c r="CZ82" i="7"/>
  <c r="CY82" i="7"/>
  <c r="CX82" i="7"/>
  <c r="CW82" i="7"/>
  <c r="CV82" i="7"/>
  <c r="CU82" i="7"/>
  <c r="CT82" i="7"/>
  <c r="CS82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CB82" i="7"/>
  <c r="CA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A82" i="7"/>
  <c r="IV81" i="7"/>
  <c r="IU81" i="7"/>
  <c r="IT81" i="7"/>
  <c r="IS81" i="7"/>
  <c r="IR81" i="7"/>
  <c r="IQ81" i="7"/>
  <c r="IP81" i="7"/>
  <c r="IO81" i="7"/>
  <c r="IN81" i="7"/>
  <c r="IM81" i="7"/>
  <c r="IL81" i="7"/>
  <c r="IK81" i="7"/>
  <c r="IJ81" i="7"/>
  <c r="II81" i="7"/>
  <c r="IH81" i="7"/>
  <c r="IG81" i="7"/>
  <c r="IF81" i="7"/>
  <c r="IE81" i="7"/>
  <c r="ID81" i="7"/>
  <c r="IC81" i="7"/>
  <c r="IB81" i="7"/>
  <c r="IA81" i="7"/>
  <c r="HZ81" i="7"/>
  <c r="HY81" i="7"/>
  <c r="HX81" i="7"/>
  <c r="HW81" i="7"/>
  <c r="HV81" i="7"/>
  <c r="HU81" i="7"/>
  <c r="HT81" i="7"/>
  <c r="HS81" i="7"/>
  <c r="HR81" i="7"/>
  <c r="HQ81" i="7"/>
  <c r="HP81" i="7"/>
  <c r="HO81" i="7"/>
  <c r="HN81" i="7"/>
  <c r="HM81" i="7"/>
  <c r="HL81" i="7"/>
  <c r="HK81" i="7"/>
  <c r="HJ81" i="7"/>
  <c r="HI81" i="7"/>
  <c r="HH81" i="7"/>
  <c r="HG81" i="7"/>
  <c r="HF81" i="7"/>
  <c r="HE81" i="7"/>
  <c r="HD81" i="7"/>
  <c r="HC81" i="7"/>
  <c r="HB81" i="7"/>
  <c r="HA81" i="7"/>
  <c r="GZ81" i="7"/>
  <c r="GY81" i="7"/>
  <c r="GX81" i="7"/>
  <c r="GW81" i="7"/>
  <c r="GV81" i="7"/>
  <c r="GU81" i="7"/>
  <c r="GT81" i="7"/>
  <c r="GS81" i="7"/>
  <c r="GR81" i="7"/>
  <c r="GQ81" i="7"/>
  <c r="GP81" i="7"/>
  <c r="GO81" i="7"/>
  <c r="GN81" i="7"/>
  <c r="GM81" i="7"/>
  <c r="GL81" i="7"/>
  <c r="GK81" i="7"/>
  <c r="GJ81" i="7"/>
  <c r="GI81" i="7"/>
  <c r="GH81" i="7"/>
  <c r="GG81" i="7"/>
  <c r="GF81" i="7"/>
  <c r="GE81" i="7"/>
  <c r="GD81" i="7"/>
  <c r="GC81" i="7"/>
  <c r="GB81" i="7"/>
  <c r="GA81" i="7"/>
  <c r="FZ81" i="7"/>
  <c r="FY81" i="7"/>
  <c r="FX81" i="7"/>
  <c r="FW81" i="7"/>
  <c r="FV81" i="7"/>
  <c r="FU81" i="7"/>
  <c r="FT81" i="7"/>
  <c r="FS81" i="7"/>
  <c r="FR81" i="7"/>
  <c r="FQ81" i="7"/>
  <c r="FP81" i="7"/>
  <c r="FO81" i="7"/>
  <c r="FN81" i="7"/>
  <c r="FM81" i="7"/>
  <c r="FL81" i="7"/>
  <c r="FK81" i="7"/>
  <c r="FJ81" i="7"/>
  <c r="FI81" i="7"/>
  <c r="FH81" i="7"/>
  <c r="FG81" i="7"/>
  <c r="FF81" i="7"/>
  <c r="FE81" i="7"/>
  <c r="FD81" i="7"/>
  <c r="FC81" i="7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N81" i="7"/>
  <c r="EM81" i="7"/>
  <c r="EL81" i="7"/>
  <c r="EK81" i="7"/>
  <c r="EJ81" i="7"/>
  <c r="EI81" i="7"/>
  <c r="EH81" i="7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T81" i="7"/>
  <c r="DS81" i="7"/>
  <c r="DR81" i="7"/>
  <c r="DQ81" i="7"/>
  <c r="DP81" i="7"/>
  <c r="DO81" i="7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Z81" i="7"/>
  <c r="CY81" i="7"/>
  <c r="CX81" i="7"/>
  <c r="CW81" i="7"/>
  <c r="CV81" i="7"/>
  <c r="CU81" i="7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CB81" i="7"/>
  <c r="CA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J81" i="7"/>
  <c r="BI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81" i="7"/>
  <c r="IV80" i="7"/>
  <c r="IU80" i="7"/>
  <c r="IT80" i="7"/>
  <c r="IS80" i="7"/>
  <c r="IR80" i="7"/>
  <c r="IQ80" i="7"/>
  <c r="IP80" i="7"/>
  <c r="IO80" i="7"/>
  <c r="IN80" i="7"/>
  <c r="IM80" i="7"/>
  <c r="IL80" i="7"/>
  <c r="IK80" i="7"/>
  <c r="IJ80" i="7"/>
  <c r="II80" i="7"/>
  <c r="IH80" i="7"/>
  <c r="IG80" i="7"/>
  <c r="IF80" i="7"/>
  <c r="IE80" i="7"/>
  <c r="ID80" i="7"/>
  <c r="IC80" i="7"/>
  <c r="IB80" i="7"/>
  <c r="IA80" i="7"/>
  <c r="HZ80" i="7"/>
  <c r="HY80" i="7"/>
  <c r="HX80" i="7"/>
  <c r="HW80" i="7"/>
  <c r="HV80" i="7"/>
  <c r="HU80" i="7"/>
  <c r="HT80" i="7"/>
  <c r="HS80" i="7"/>
  <c r="HR80" i="7"/>
  <c r="HQ80" i="7"/>
  <c r="HP80" i="7"/>
  <c r="HO80" i="7"/>
  <c r="HN80" i="7"/>
  <c r="HM80" i="7"/>
  <c r="HL80" i="7"/>
  <c r="HK80" i="7"/>
  <c r="HJ80" i="7"/>
  <c r="HI80" i="7"/>
  <c r="HH80" i="7"/>
  <c r="HG80" i="7"/>
  <c r="HF80" i="7"/>
  <c r="HE80" i="7"/>
  <c r="HD80" i="7"/>
  <c r="HC80" i="7"/>
  <c r="HB80" i="7"/>
  <c r="HA80" i="7"/>
  <c r="GZ80" i="7"/>
  <c r="GY80" i="7"/>
  <c r="GX80" i="7"/>
  <c r="GW80" i="7"/>
  <c r="GV80" i="7"/>
  <c r="GU80" i="7"/>
  <c r="GT80" i="7"/>
  <c r="GS80" i="7"/>
  <c r="GR80" i="7"/>
  <c r="GQ80" i="7"/>
  <c r="GP80" i="7"/>
  <c r="GO80" i="7"/>
  <c r="GN80" i="7"/>
  <c r="GM80" i="7"/>
  <c r="GL80" i="7"/>
  <c r="GK80" i="7"/>
  <c r="GJ80" i="7"/>
  <c r="GI80" i="7"/>
  <c r="GH80" i="7"/>
  <c r="GG80" i="7"/>
  <c r="GF80" i="7"/>
  <c r="GE80" i="7"/>
  <c r="GD80" i="7"/>
  <c r="GC80" i="7"/>
  <c r="GB80" i="7"/>
  <c r="GA80" i="7"/>
  <c r="FZ80" i="7"/>
  <c r="FY80" i="7"/>
  <c r="FX80" i="7"/>
  <c r="FW80" i="7"/>
  <c r="FV80" i="7"/>
  <c r="FU80" i="7"/>
  <c r="FT80" i="7"/>
  <c r="FS80" i="7"/>
  <c r="FR80" i="7"/>
  <c r="FQ80" i="7"/>
  <c r="FP80" i="7"/>
  <c r="FO80" i="7"/>
  <c r="FN80" i="7"/>
  <c r="FM80" i="7"/>
  <c r="FL80" i="7"/>
  <c r="FK80" i="7"/>
  <c r="FJ80" i="7"/>
  <c r="FI80" i="7"/>
  <c r="FH80" i="7"/>
  <c r="FG80" i="7"/>
  <c r="FF80" i="7"/>
  <c r="FE80" i="7"/>
  <c r="FD80" i="7"/>
  <c r="FC80" i="7"/>
  <c r="FB80" i="7"/>
  <c r="FA80" i="7"/>
  <c r="EZ80" i="7"/>
  <c r="EY80" i="7"/>
  <c r="EX80" i="7"/>
  <c r="EW80" i="7"/>
  <c r="EV80" i="7"/>
  <c r="EU80" i="7"/>
  <c r="ET80" i="7"/>
  <c r="ES80" i="7"/>
  <c r="ER80" i="7"/>
  <c r="EQ80" i="7"/>
  <c r="EP80" i="7"/>
  <c r="EO80" i="7"/>
  <c r="EN80" i="7"/>
  <c r="EM80" i="7"/>
  <c r="EL80" i="7"/>
  <c r="EK80" i="7"/>
  <c r="EJ80" i="7"/>
  <c r="EI80" i="7"/>
  <c r="EH80" i="7"/>
  <c r="EG80" i="7"/>
  <c r="EF80" i="7"/>
  <c r="EE80" i="7"/>
  <c r="ED80" i="7"/>
  <c r="EC80" i="7"/>
  <c r="EB80" i="7"/>
  <c r="EA80" i="7"/>
  <c r="DZ80" i="7"/>
  <c r="DY80" i="7"/>
  <c r="DX80" i="7"/>
  <c r="DW80" i="7"/>
  <c r="DV80" i="7"/>
  <c r="DU80" i="7"/>
  <c r="DT80" i="7"/>
  <c r="DS80" i="7"/>
  <c r="DR80" i="7"/>
  <c r="DQ80" i="7"/>
  <c r="DP80" i="7"/>
  <c r="DO80" i="7"/>
  <c r="DN80" i="7"/>
  <c r="DM80" i="7"/>
  <c r="DL80" i="7"/>
  <c r="DK80" i="7"/>
  <c r="DJ80" i="7"/>
  <c r="DI80" i="7"/>
  <c r="DH80" i="7"/>
  <c r="DG80" i="7"/>
  <c r="DF80" i="7"/>
  <c r="DE80" i="7"/>
  <c r="DD80" i="7"/>
  <c r="DC80" i="7"/>
  <c r="DB80" i="7"/>
  <c r="DA80" i="7"/>
  <c r="CZ80" i="7"/>
  <c r="CY80" i="7"/>
  <c r="CX80" i="7"/>
  <c r="CW80" i="7"/>
  <c r="CV80" i="7"/>
  <c r="CU80" i="7"/>
  <c r="CT80" i="7"/>
  <c r="CS80" i="7"/>
  <c r="CR80" i="7"/>
  <c r="CQ80" i="7"/>
  <c r="CP80" i="7"/>
  <c r="CO80" i="7"/>
  <c r="CN80" i="7"/>
  <c r="CM80" i="7"/>
  <c r="CL80" i="7"/>
  <c r="CK80" i="7"/>
  <c r="CJ80" i="7"/>
  <c r="CI80" i="7"/>
  <c r="CH80" i="7"/>
  <c r="CG80" i="7"/>
  <c r="CF80" i="7"/>
  <c r="CE80" i="7"/>
  <c r="CD80" i="7"/>
  <c r="CC80" i="7"/>
  <c r="CB80" i="7"/>
  <c r="CA80" i="7"/>
  <c r="BZ80" i="7"/>
  <c r="BY80" i="7"/>
  <c r="BX80" i="7"/>
  <c r="BW80" i="7"/>
  <c r="BV80" i="7"/>
  <c r="BU80" i="7"/>
  <c r="BT80" i="7"/>
  <c r="BS80" i="7"/>
  <c r="BR80" i="7"/>
  <c r="BQ80" i="7"/>
  <c r="BP80" i="7"/>
  <c r="BO80" i="7"/>
  <c r="BN80" i="7"/>
  <c r="BM80" i="7"/>
  <c r="BL80" i="7"/>
  <c r="BK80" i="7"/>
  <c r="BJ80" i="7"/>
  <c r="BI80" i="7"/>
  <c r="BH80" i="7"/>
  <c r="BG80" i="7"/>
  <c r="BF80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AR80" i="7"/>
  <c r="AQ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Z80" i="7"/>
  <c r="Y80" i="7"/>
  <c r="X80" i="7"/>
  <c r="W80" i="7"/>
  <c r="V80" i="7"/>
  <c r="U80" i="7"/>
  <c r="T80" i="7"/>
  <c r="S80" i="7"/>
  <c r="R80" i="7"/>
  <c r="Q80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B80" i="7"/>
  <c r="A80" i="7"/>
  <c r="IV79" i="7"/>
  <c r="IU79" i="7"/>
  <c r="IT79" i="7"/>
  <c r="IS79" i="7"/>
  <c r="IR79" i="7"/>
  <c r="IQ79" i="7"/>
  <c r="IP79" i="7"/>
  <c r="IO79" i="7"/>
  <c r="IN79" i="7"/>
  <c r="IM79" i="7"/>
  <c r="IL79" i="7"/>
  <c r="IK79" i="7"/>
  <c r="IJ79" i="7"/>
  <c r="II79" i="7"/>
  <c r="IH79" i="7"/>
  <c r="IG79" i="7"/>
  <c r="IF79" i="7"/>
  <c r="IE79" i="7"/>
  <c r="ID79" i="7"/>
  <c r="IC79" i="7"/>
  <c r="IB79" i="7"/>
  <c r="IA79" i="7"/>
  <c r="HZ79" i="7"/>
  <c r="HY79" i="7"/>
  <c r="HX79" i="7"/>
  <c r="HW79" i="7"/>
  <c r="HV79" i="7"/>
  <c r="HU79" i="7"/>
  <c r="HT79" i="7"/>
  <c r="HS79" i="7"/>
  <c r="HR79" i="7"/>
  <c r="HQ79" i="7"/>
  <c r="HP79" i="7"/>
  <c r="HO79" i="7"/>
  <c r="HN79" i="7"/>
  <c r="HM79" i="7"/>
  <c r="HL79" i="7"/>
  <c r="HK79" i="7"/>
  <c r="HJ79" i="7"/>
  <c r="HI79" i="7"/>
  <c r="HH79" i="7"/>
  <c r="HG79" i="7"/>
  <c r="HF79" i="7"/>
  <c r="HE79" i="7"/>
  <c r="HD79" i="7"/>
  <c r="HC79" i="7"/>
  <c r="HB79" i="7"/>
  <c r="HA79" i="7"/>
  <c r="GZ79" i="7"/>
  <c r="GY79" i="7"/>
  <c r="GX79" i="7"/>
  <c r="GW79" i="7"/>
  <c r="GV79" i="7"/>
  <c r="GU79" i="7"/>
  <c r="GT79" i="7"/>
  <c r="GS79" i="7"/>
  <c r="GR79" i="7"/>
  <c r="GQ79" i="7"/>
  <c r="GP79" i="7"/>
  <c r="GO79" i="7"/>
  <c r="GN79" i="7"/>
  <c r="GM79" i="7"/>
  <c r="GL79" i="7"/>
  <c r="GK79" i="7"/>
  <c r="GJ79" i="7"/>
  <c r="GI79" i="7"/>
  <c r="GH79" i="7"/>
  <c r="GG79" i="7"/>
  <c r="GF79" i="7"/>
  <c r="GE79" i="7"/>
  <c r="GD79" i="7"/>
  <c r="GC79" i="7"/>
  <c r="GB79" i="7"/>
  <c r="GA79" i="7"/>
  <c r="FZ79" i="7"/>
  <c r="FY79" i="7"/>
  <c r="FX79" i="7"/>
  <c r="FW79" i="7"/>
  <c r="FV79" i="7"/>
  <c r="FU79" i="7"/>
  <c r="FT79" i="7"/>
  <c r="FS79" i="7"/>
  <c r="FR79" i="7"/>
  <c r="FQ79" i="7"/>
  <c r="FP79" i="7"/>
  <c r="FO79" i="7"/>
  <c r="FN79" i="7"/>
  <c r="FM79" i="7"/>
  <c r="FL79" i="7"/>
  <c r="FK79" i="7"/>
  <c r="FJ79" i="7"/>
  <c r="FI79" i="7"/>
  <c r="FH79" i="7"/>
  <c r="FG79" i="7"/>
  <c r="FF79" i="7"/>
  <c r="FE79" i="7"/>
  <c r="FD79" i="7"/>
  <c r="FC79" i="7"/>
  <c r="FB79" i="7"/>
  <c r="FA79" i="7"/>
  <c r="EZ79" i="7"/>
  <c r="EY79" i="7"/>
  <c r="EX79" i="7"/>
  <c r="EW79" i="7"/>
  <c r="EV79" i="7"/>
  <c r="EU79" i="7"/>
  <c r="ET79" i="7"/>
  <c r="ES79" i="7"/>
  <c r="ER79" i="7"/>
  <c r="EQ79" i="7"/>
  <c r="EP79" i="7"/>
  <c r="EO79" i="7"/>
  <c r="EN79" i="7"/>
  <c r="EM79" i="7"/>
  <c r="EL79" i="7"/>
  <c r="EK79" i="7"/>
  <c r="EJ79" i="7"/>
  <c r="EI79" i="7"/>
  <c r="EH79" i="7"/>
  <c r="EG79" i="7"/>
  <c r="EF79" i="7"/>
  <c r="EE79" i="7"/>
  <c r="ED79" i="7"/>
  <c r="EC79" i="7"/>
  <c r="EB79" i="7"/>
  <c r="EA79" i="7"/>
  <c r="DZ79" i="7"/>
  <c r="DY79" i="7"/>
  <c r="DX79" i="7"/>
  <c r="DW79" i="7"/>
  <c r="DV79" i="7"/>
  <c r="DU79" i="7"/>
  <c r="DT79" i="7"/>
  <c r="DS79" i="7"/>
  <c r="DR79" i="7"/>
  <c r="DQ79" i="7"/>
  <c r="DP79" i="7"/>
  <c r="DO79" i="7"/>
  <c r="DN79" i="7"/>
  <c r="DM79" i="7"/>
  <c r="DL79" i="7"/>
  <c r="DK79" i="7"/>
  <c r="DJ79" i="7"/>
  <c r="DI79" i="7"/>
  <c r="DH79" i="7"/>
  <c r="DG79" i="7"/>
  <c r="DF79" i="7"/>
  <c r="DE79" i="7"/>
  <c r="DD79" i="7"/>
  <c r="DC79" i="7"/>
  <c r="DB79" i="7"/>
  <c r="DA79" i="7"/>
  <c r="CZ79" i="7"/>
  <c r="CY79" i="7"/>
  <c r="CX79" i="7"/>
  <c r="CW79" i="7"/>
  <c r="CV79" i="7"/>
  <c r="CU79" i="7"/>
  <c r="CT79" i="7"/>
  <c r="CS79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F79" i="7"/>
  <c r="CE79" i="7"/>
  <c r="CD79" i="7"/>
  <c r="CC79" i="7"/>
  <c r="CB79" i="7"/>
  <c r="CA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A79" i="7"/>
  <c r="IV78" i="7"/>
  <c r="IU78" i="7"/>
  <c r="IT78" i="7"/>
  <c r="IS78" i="7"/>
  <c r="IR78" i="7"/>
  <c r="IQ78" i="7"/>
  <c r="IP78" i="7"/>
  <c r="IO78" i="7"/>
  <c r="IN78" i="7"/>
  <c r="IM78" i="7"/>
  <c r="IL78" i="7"/>
  <c r="IK78" i="7"/>
  <c r="IJ78" i="7"/>
  <c r="II78" i="7"/>
  <c r="IH78" i="7"/>
  <c r="IG78" i="7"/>
  <c r="IF78" i="7"/>
  <c r="IE78" i="7"/>
  <c r="ID78" i="7"/>
  <c r="IC78" i="7"/>
  <c r="IB78" i="7"/>
  <c r="IA78" i="7"/>
  <c r="HZ78" i="7"/>
  <c r="HY78" i="7"/>
  <c r="HX78" i="7"/>
  <c r="HW78" i="7"/>
  <c r="HV78" i="7"/>
  <c r="HU78" i="7"/>
  <c r="HT78" i="7"/>
  <c r="HS78" i="7"/>
  <c r="HR78" i="7"/>
  <c r="HQ78" i="7"/>
  <c r="HP78" i="7"/>
  <c r="HO78" i="7"/>
  <c r="HN78" i="7"/>
  <c r="HM78" i="7"/>
  <c r="HL78" i="7"/>
  <c r="HK78" i="7"/>
  <c r="HJ78" i="7"/>
  <c r="HI78" i="7"/>
  <c r="HH78" i="7"/>
  <c r="HG78" i="7"/>
  <c r="HF78" i="7"/>
  <c r="HE78" i="7"/>
  <c r="HD78" i="7"/>
  <c r="HC78" i="7"/>
  <c r="HB78" i="7"/>
  <c r="HA78" i="7"/>
  <c r="GZ78" i="7"/>
  <c r="GY78" i="7"/>
  <c r="GX78" i="7"/>
  <c r="GW78" i="7"/>
  <c r="GV78" i="7"/>
  <c r="GU78" i="7"/>
  <c r="GT78" i="7"/>
  <c r="GS78" i="7"/>
  <c r="GR78" i="7"/>
  <c r="GQ78" i="7"/>
  <c r="GP78" i="7"/>
  <c r="GO78" i="7"/>
  <c r="GN78" i="7"/>
  <c r="GM78" i="7"/>
  <c r="GL78" i="7"/>
  <c r="GK78" i="7"/>
  <c r="GJ78" i="7"/>
  <c r="GI78" i="7"/>
  <c r="GH78" i="7"/>
  <c r="GG78" i="7"/>
  <c r="GF78" i="7"/>
  <c r="GE78" i="7"/>
  <c r="GD78" i="7"/>
  <c r="GC78" i="7"/>
  <c r="GB78" i="7"/>
  <c r="GA78" i="7"/>
  <c r="FZ78" i="7"/>
  <c r="FY78" i="7"/>
  <c r="FX78" i="7"/>
  <c r="FW78" i="7"/>
  <c r="FV78" i="7"/>
  <c r="FU78" i="7"/>
  <c r="FT78" i="7"/>
  <c r="FS78" i="7"/>
  <c r="FR78" i="7"/>
  <c r="FQ78" i="7"/>
  <c r="FP78" i="7"/>
  <c r="FO78" i="7"/>
  <c r="FN78" i="7"/>
  <c r="FM78" i="7"/>
  <c r="FL78" i="7"/>
  <c r="FK78" i="7"/>
  <c r="FJ78" i="7"/>
  <c r="FI78" i="7"/>
  <c r="FH78" i="7"/>
  <c r="FG78" i="7"/>
  <c r="FF78" i="7"/>
  <c r="FE78" i="7"/>
  <c r="FD78" i="7"/>
  <c r="FC78" i="7"/>
  <c r="FB78" i="7"/>
  <c r="FA78" i="7"/>
  <c r="EZ78" i="7"/>
  <c r="EY78" i="7"/>
  <c r="EX78" i="7"/>
  <c r="EW78" i="7"/>
  <c r="EV78" i="7"/>
  <c r="EU78" i="7"/>
  <c r="ET78" i="7"/>
  <c r="ES78" i="7"/>
  <c r="ER78" i="7"/>
  <c r="EQ78" i="7"/>
  <c r="EP78" i="7"/>
  <c r="EO78" i="7"/>
  <c r="EN78" i="7"/>
  <c r="EM78" i="7"/>
  <c r="EL78" i="7"/>
  <c r="EK78" i="7"/>
  <c r="EJ78" i="7"/>
  <c r="EI78" i="7"/>
  <c r="EH78" i="7"/>
  <c r="EG78" i="7"/>
  <c r="EF78" i="7"/>
  <c r="EE78" i="7"/>
  <c r="ED78" i="7"/>
  <c r="EC78" i="7"/>
  <c r="EB78" i="7"/>
  <c r="EA78" i="7"/>
  <c r="DZ78" i="7"/>
  <c r="DY78" i="7"/>
  <c r="DX78" i="7"/>
  <c r="DW78" i="7"/>
  <c r="DV78" i="7"/>
  <c r="DU78" i="7"/>
  <c r="DT78" i="7"/>
  <c r="DS78" i="7"/>
  <c r="DR78" i="7"/>
  <c r="DQ78" i="7"/>
  <c r="DP78" i="7"/>
  <c r="DO78" i="7"/>
  <c r="DN78" i="7"/>
  <c r="DM78" i="7"/>
  <c r="DL78" i="7"/>
  <c r="DK78" i="7"/>
  <c r="DJ78" i="7"/>
  <c r="DI78" i="7"/>
  <c r="DH78" i="7"/>
  <c r="DG78" i="7"/>
  <c r="DF78" i="7"/>
  <c r="DE78" i="7"/>
  <c r="DD78" i="7"/>
  <c r="DC78" i="7"/>
  <c r="DB78" i="7"/>
  <c r="DA78" i="7"/>
  <c r="CZ78" i="7"/>
  <c r="CY78" i="7"/>
  <c r="CX78" i="7"/>
  <c r="CW78" i="7"/>
  <c r="CV78" i="7"/>
  <c r="CU78" i="7"/>
  <c r="CT78" i="7"/>
  <c r="CS78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CB78" i="7"/>
  <c r="CA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M78" i="7"/>
  <c r="BL78" i="7"/>
  <c r="BK78" i="7"/>
  <c r="BJ78" i="7"/>
  <c r="BI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A78" i="7"/>
  <c r="IV77" i="7"/>
  <c r="IU77" i="7"/>
  <c r="IT77" i="7"/>
  <c r="IS77" i="7"/>
  <c r="IR77" i="7"/>
  <c r="IQ77" i="7"/>
  <c r="IP77" i="7"/>
  <c r="IO77" i="7"/>
  <c r="IN77" i="7"/>
  <c r="IM77" i="7"/>
  <c r="IL77" i="7"/>
  <c r="IK77" i="7"/>
  <c r="IJ77" i="7"/>
  <c r="II77" i="7"/>
  <c r="IH77" i="7"/>
  <c r="IG77" i="7"/>
  <c r="IF77" i="7"/>
  <c r="IE77" i="7"/>
  <c r="ID77" i="7"/>
  <c r="IC77" i="7"/>
  <c r="IB77" i="7"/>
  <c r="IA77" i="7"/>
  <c r="HZ77" i="7"/>
  <c r="HY77" i="7"/>
  <c r="HX77" i="7"/>
  <c r="HW77" i="7"/>
  <c r="HV77" i="7"/>
  <c r="HU77" i="7"/>
  <c r="HT77" i="7"/>
  <c r="HS77" i="7"/>
  <c r="HR77" i="7"/>
  <c r="HQ77" i="7"/>
  <c r="HP77" i="7"/>
  <c r="HO77" i="7"/>
  <c r="HN77" i="7"/>
  <c r="HM77" i="7"/>
  <c r="HL77" i="7"/>
  <c r="HK77" i="7"/>
  <c r="HJ77" i="7"/>
  <c r="HI77" i="7"/>
  <c r="HH77" i="7"/>
  <c r="HG77" i="7"/>
  <c r="HF77" i="7"/>
  <c r="HE77" i="7"/>
  <c r="HD77" i="7"/>
  <c r="HC77" i="7"/>
  <c r="HB77" i="7"/>
  <c r="HA77" i="7"/>
  <c r="GZ77" i="7"/>
  <c r="GY77" i="7"/>
  <c r="GX77" i="7"/>
  <c r="GW77" i="7"/>
  <c r="GV77" i="7"/>
  <c r="GU77" i="7"/>
  <c r="GT77" i="7"/>
  <c r="GS77" i="7"/>
  <c r="GR77" i="7"/>
  <c r="GQ77" i="7"/>
  <c r="GP77" i="7"/>
  <c r="GO77" i="7"/>
  <c r="GN77" i="7"/>
  <c r="GM77" i="7"/>
  <c r="GL77" i="7"/>
  <c r="GK77" i="7"/>
  <c r="GJ77" i="7"/>
  <c r="GI77" i="7"/>
  <c r="GH77" i="7"/>
  <c r="GG77" i="7"/>
  <c r="GF77" i="7"/>
  <c r="GE77" i="7"/>
  <c r="GD77" i="7"/>
  <c r="GC77" i="7"/>
  <c r="GB77" i="7"/>
  <c r="GA77" i="7"/>
  <c r="FZ77" i="7"/>
  <c r="FY77" i="7"/>
  <c r="FX77" i="7"/>
  <c r="FW77" i="7"/>
  <c r="FV77" i="7"/>
  <c r="FU77" i="7"/>
  <c r="FT77" i="7"/>
  <c r="FS77" i="7"/>
  <c r="FR77" i="7"/>
  <c r="FQ77" i="7"/>
  <c r="FP77" i="7"/>
  <c r="FO77" i="7"/>
  <c r="FN77" i="7"/>
  <c r="FM77" i="7"/>
  <c r="FL77" i="7"/>
  <c r="FK77" i="7"/>
  <c r="FJ77" i="7"/>
  <c r="FI77" i="7"/>
  <c r="FH77" i="7"/>
  <c r="FG77" i="7"/>
  <c r="FF77" i="7"/>
  <c r="FE77" i="7"/>
  <c r="FD77" i="7"/>
  <c r="FC77" i="7"/>
  <c r="FB77" i="7"/>
  <c r="FA77" i="7"/>
  <c r="EZ77" i="7"/>
  <c r="EY77" i="7"/>
  <c r="EX77" i="7"/>
  <c r="EW77" i="7"/>
  <c r="EV77" i="7"/>
  <c r="EU77" i="7"/>
  <c r="ET77" i="7"/>
  <c r="ES77" i="7"/>
  <c r="ER77" i="7"/>
  <c r="EQ77" i="7"/>
  <c r="EP77" i="7"/>
  <c r="EO77" i="7"/>
  <c r="EN77" i="7"/>
  <c r="EM77" i="7"/>
  <c r="EL77" i="7"/>
  <c r="EK77" i="7"/>
  <c r="EJ77" i="7"/>
  <c r="EI77" i="7"/>
  <c r="EH77" i="7"/>
  <c r="EG77" i="7"/>
  <c r="EF77" i="7"/>
  <c r="EE77" i="7"/>
  <c r="ED77" i="7"/>
  <c r="EC77" i="7"/>
  <c r="EB77" i="7"/>
  <c r="EA77" i="7"/>
  <c r="DZ77" i="7"/>
  <c r="DY77" i="7"/>
  <c r="DX77" i="7"/>
  <c r="DW77" i="7"/>
  <c r="DV77" i="7"/>
  <c r="DU77" i="7"/>
  <c r="DT77" i="7"/>
  <c r="DS77" i="7"/>
  <c r="DR77" i="7"/>
  <c r="DQ77" i="7"/>
  <c r="DP77" i="7"/>
  <c r="DO77" i="7"/>
  <c r="DN77" i="7"/>
  <c r="DM77" i="7"/>
  <c r="DL77" i="7"/>
  <c r="DK77" i="7"/>
  <c r="DJ77" i="7"/>
  <c r="DI77" i="7"/>
  <c r="DH77" i="7"/>
  <c r="DG77" i="7"/>
  <c r="DF77" i="7"/>
  <c r="DE77" i="7"/>
  <c r="DD77" i="7"/>
  <c r="DC77" i="7"/>
  <c r="DB77" i="7"/>
  <c r="DA77" i="7"/>
  <c r="CZ77" i="7"/>
  <c r="CY77" i="7"/>
  <c r="CX77" i="7"/>
  <c r="CW77" i="7"/>
  <c r="CV77" i="7"/>
  <c r="CU77" i="7"/>
  <c r="CT77" i="7"/>
  <c r="CS77" i="7"/>
  <c r="CR77" i="7"/>
  <c r="CQ77" i="7"/>
  <c r="CP77" i="7"/>
  <c r="CO77" i="7"/>
  <c r="CN77" i="7"/>
  <c r="CM77" i="7"/>
  <c r="CL77" i="7"/>
  <c r="CK77" i="7"/>
  <c r="CJ77" i="7"/>
  <c r="CI77" i="7"/>
  <c r="CH77" i="7"/>
  <c r="CG77" i="7"/>
  <c r="CF77" i="7"/>
  <c r="CE77" i="7"/>
  <c r="CD77" i="7"/>
  <c r="CC77" i="7"/>
  <c r="CB77" i="7"/>
  <c r="CA77" i="7"/>
  <c r="BZ77" i="7"/>
  <c r="BY77" i="7"/>
  <c r="BX77" i="7"/>
  <c r="BW77" i="7"/>
  <c r="BV77" i="7"/>
  <c r="BU77" i="7"/>
  <c r="BT77" i="7"/>
  <c r="BS77" i="7"/>
  <c r="BR77" i="7"/>
  <c r="BQ77" i="7"/>
  <c r="BP77" i="7"/>
  <c r="BO77" i="7"/>
  <c r="BN77" i="7"/>
  <c r="BM77" i="7"/>
  <c r="BL77" i="7"/>
  <c r="BK77" i="7"/>
  <c r="BJ77" i="7"/>
  <c r="BI77" i="7"/>
  <c r="BH77" i="7"/>
  <c r="BG77" i="7"/>
  <c r="BF77" i="7"/>
  <c r="BE77" i="7"/>
  <c r="BD77" i="7"/>
  <c r="BC77" i="7"/>
  <c r="BB77" i="7"/>
  <c r="BA77" i="7"/>
  <c r="AZ77" i="7"/>
  <c r="AY77" i="7"/>
  <c r="AX77" i="7"/>
  <c r="AW77" i="7"/>
  <c r="AV77" i="7"/>
  <c r="AU77" i="7"/>
  <c r="AT77" i="7"/>
  <c r="AS77" i="7"/>
  <c r="AR77" i="7"/>
  <c r="AQ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77" i="7"/>
  <c r="IV76" i="7"/>
  <c r="IU76" i="7"/>
  <c r="IT76" i="7"/>
  <c r="IS76" i="7"/>
  <c r="IR76" i="7"/>
  <c r="IQ76" i="7"/>
  <c r="IP76" i="7"/>
  <c r="IO76" i="7"/>
  <c r="IN76" i="7"/>
  <c r="IM76" i="7"/>
  <c r="IL76" i="7"/>
  <c r="IK76" i="7"/>
  <c r="IJ76" i="7"/>
  <c r="II76" i="7"/>
  <c r="IH76" i="7"/>
  <c r="IG76" i="7"/>
  <c r="IF76" i="7"/>
  <c r="IE76" i="7"/>
  <c r="ID76" i="7"/>
  <c r="IC76" i="7"/>
  <c r="IB76" i="7"/>
  <c r="IA76" i="7"/>
  <c r="HZ76" i="7"/>
  <c r="HY76" i="7"/>
  <c r="HX76" i="7"/>
  <c r="HW76" i="7"/>
  <c r="HV76" i="7"/>
  <c r="HU76" i="7"/>
  <c r="HT76" i="7"/>
  <c r="HS76" i="7"/>
  <c r="HR76" i="7"/>
  <c r="HQ76" i="7"/>
  <c r="HP76" i="7"/>
  <c r="HO76" i="7"/>
  <c r="HN76" i="7"/>
  <c r="HM76" i="7"/>
  <c r="HL76" i="7"/>
  <c r="HK76" i="7"/>
  <c r="HJ76" i="7"/>
  <c r="HI76" i="7"/>
  <c r="HH76" i="7"/>
  <c r="HG76" i="7"/>
  <c r="HF76" i="7"/>
  <c r="HE76" i="7"/>
  <c r="HD76" i="7"/>
  <c r="HC76" i="7"/>
  <c r="HB76" i="7"/>
  <c r="HA76" i="7"/>
  <c r="GZ76" i="7"/>
  <c r="GY76" i="7"/>
  <c r="GX76" i="7"/>
  <c r="GW76" i="7"/>
  <c r="GV76" i="7"/>
  <c r="GU76" i="7"/>
  <c r="GT76" i="7"/>
  <c r="GS76" i="7"/>
  <c r="GR76" i="7"/>
  <c r="GQ76" i="7"/>
  <c r="GP76" i="7"/>
  <c r="GO76" i="7"/>
  <c r="GN76" i="7"/>
  <c r="GM76" i="7"/>
  <c r="GL76" i="7"/>
  <c r="GK76" i="7"/>
  <c r="GJ76" i="7"/>
  <c r="GI76" i="7"/>
  <c r="GH76" i="7"/>
  <c r="GG76" i="7"/>
  <c r="GF76" i="7"/>
  <c r="GE76" i="7"/>
  <c r="GD76" i="7"/>
  <c r="GC76" i="7"/>
  <c r="GB76" i="7"/>
  <c r="GA76" i="7"/>
  <c r="FZ76" i="7"/>
  <c r="FY76" i="7"/>
  <c r="FX76" i="7"/>
  <c r="FW76" i="7"/>
  <c r="FV76" i="7"/>
  <c r="FU76" i="7"/>
  <c r="FT76" i="7"/>
  <c r="FS76" i="7"/>
  <c r="FR76" i="7"/>
  <c r="FQ76" i="7"/>
  <c r="FP76" i="7"/>
  <c r="FO76" i="7"/>
  <c r="FN76" i="7"/>
  <c r="FM76" i="7"/>
  <c r="FL76" i="7"/>
  <c r="FK76" i="7"/>
  <c r="FJ76" i="7"/>
  <c r="FI76" i="7"/>
  <c r="FH76" i="7"/>
  <c r="FG76" i="7"/>
  <c r="FF76" i="7"/>
  <c r="FE76" i="7"/>
  <c r="FD76" i="7"/>
  <c r="FC76" i="7"/>
  <c r="FB76" i="7"/>
  <c r="FA76" i="7"/>
  <c r="EZ76" i="7"/>
  <c r="EY76" i="7"/>
  <c r="EX76" i="7"/>
  <c r="EW76" i="7"/>
  <c r="EV76" i="7"/>
  <c r="EU76" i="7"/>
  <c r="ET76" i="7"/>
  <c r="ES76" i="7"/>
  <c r="ER76" i="7"/>
  <c r="EQ76" i="7"/>
  <c r="EP76" i="7"/>
  <c r="EO76" i="7"/>
  <c r="EN76" i="7"/>
  <c r="EM76" i="7"/>
  <c r="EL76" i="7"/>
  <c r="EK76" i="7"/>
  <c r="EJ76" i="7"/>
  <c r="EI76" i="7"/>
  <c r="EH76" i="7"/>
  <c r="EG76" i="7"/>
  <c r="EF76" i="7"/>
  <c r="EE76" i="7"/>
  <c r="ED76" i="7"/>
  <c r="EC76" i="7"/>
  <c r="EB76" i="7"/>
  <c r="EA76" i="7"/>
  <c r="DZ76" i="7"/>
  <c r="DY76" i="7"/>
  <c r="DX76" i="7"/>
  <c r="DW76" i="7"/>
  <c r="DV76" i="7"/>
  <c r="DU76" i="7"/>
  <c r="DT76" i="7"/>
  <c r="DS76" i="7"/>
  <c r="DR76" i="7"/>
  <c r="DQ76" i="7"/>
  <c r="DP76" i="7"/>
  <c r="DO76" i="7"/>
  <c r="DN76" i="7"/>
  <c r="DM76" i="7"/>
  <c r="DL76" i="7"/>
  <c r="DK76" i="7"/>
  <c r="DJ76" i="7"/>
  <c r="DI76" i="7"/>
  <c r="DH76" i="7"/>
  <c r="DG76" i="7"/>
  <c r="DF76" i="7"/>
  <c r="DE76" i="7"/>
  <c r="DD76" i="7"/>
  <c r="DC76" i="7"/>
  <c r="DB76" i="7"/>
  <c r="DA76" i="7"/>
  <c r="CZ76" i="7"/>
  <c r="CY76" i="7"/>
  <c r="CX76" i="7"/>
  <c r="CW76" i="7"/>
  <c r="CV76" i="7"/>
  <c r="CU76" i="7"/>
  <c r="CT76" i="7"/>
  <c r="CS76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F76" i="7"/>
  <c r="CE76" i="7"/>
  <c r="CD76" i="7"/>
  <c r="CC76" i="7"/>
  <c r="CB76" i="7"/>
  <c r="CA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BN76" i="7"/>
  <c r="BM76" i="7"/>
  <c r="BL76" i="7"/>
  <c r="BK76" i="7"/>
  <c r="BJ76" i="7"/>
  <c r="BI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R76" i="7"/>
  <c r="AQ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B76" i="7"/>
  <c r="A76" i="7"/>
  <c r="IV75" i="7"/>
  <c r="IU75" i="7"/>
  <c r="IT75" i="7"/>
  <c r="IS75" i="7"/>
  <c r="IR75" i="7"/>
  <c r="IQ75" i="7"/>
  <c r="IP75" i="7"/>
  <c r="IO75" i="7"/>
  <c r="IN75" i="7"/>
  <c r="IM75" i="7"/>
  <c r="IL75" i="7"/>
  <c r="IK75" i="7"/>
  <c r="IJ75" i="7"/>
  <c r="II75" i="7"/>
  <c r="IH75" i="7"/>
  <c r="IG75" i="7"/>
  <c r="IF75" i="7"/>
  <c r="IE75" i="7"/>
  <c r="ID75" i="7"/>
  <c r="IC75" i="7"/>
  <c r="IB75" i="7"/>
  <c r="IA75" i="7"/>
  <c r="HZ75" i="7"/>
  <c r="HY75" i="7"/>
  <c r="HX75" i="7"/>
  <c r="HW75" i="7"/>
  <c r="HV75" i="7"/>
  <c r="HU75" i="7"/>
  <c r="HT75" i="7"/>
  <c r="HS75" i="7"/>
  <c r="HR75" i="7"/>
  <c r="HQ75" i="7"/>
  <c r="HP75" i="7"/>
  <c r="HO75" i="7"/>
  <c r="HN75" i="7"/>
  <c r="HM75" i="7"/>
  <c r="HL75" i="7"/>
  <c r="HK75" i="7"/>
  <c r="HJ75" i="7"/>
  <c r="HI75" i="7"/>
  <c r="HH75" i="7"/>
  <c r="HG75" i="7"/>
  <c r="HF75" i="7"/>
  <c r="HE75" i="7"/>
  <c r="HD75" i="7"/>
  <c r="HC75" i="7"/>
  <c r="HB75" i="7"/>
  <c r="HA75" i="7"/>
  <c r="GZ75" i="7"/>
  <c r="GY75" i="7"/>
  <c r="GX75" i="7"/>
  <c r="GW75" i="7"/>
  <c r="GV75" i="7"/>
  <c r="GU75" i="7"/>
  <c r="GT75" i="7"/>
  <c r="GS75" i="7"/>
  <c r="GR75" i="7"/>
  <c r="GQ75" i="7"/>
  <c r="GP75" i="7"/>
  <c r="GO75" i="7"/>
  <c r="GN75" i="7"/>
  <c r="GM75" i="7"/>
  <c r="GL75" i="7"/>
  <c r="GK75" i="7"/>
  <c r="GJ75" i="7"/>
  <c r="GI75" i="7"/>
  <c r="GH75" i="7"/>
  <c r="GG75" i="7"/>
  <c r="GF75" i="7"/>
  <c r="GE75" i="7"/>
  <c r="GD75" i="7"/>
  <c r="GC75" i="7"/>
  <c r="GB75" i="7"/>
  <c r="GA75" i="7"/>
  <c r="FZ75" i="7"/>
  <c r="FY75" i="7"/>
  <c r="FX75" i="7"/>
  <c r="FW75" i="7"/>
  <c r="FV75" i="7"/>
  <c r="FU75" i="7"/>
  <c r="FT75" i="7"/>
  <c r="FS75" i="7"/>
  <c r="FR75" i="7"/>
  <c r="FQ75" i="7"/>
  <c r="FP75" i="7"/>
  <c r="FO75" i="7"/>
  <c r="FN75" i="7"/>
  <c r="FM75" i="7"/>
  <c r="FL75" i="7"/>
  <c r="FK75" i="7"/>
  <c r="FJ75" i="7"/>
  <c r="FI75" i="7"/>
  <c r="FH75" i="7"/>
  <c r="FG75" i="7"/>
  <c r="FF75" i="7"/>
  <c r="FE75" i="7"/>
  <c r="FD75" i="7"/>
  <c r="FC75" i="7"/>
  <c r="FB75" i="7"/>
  <c r="FA75" i="7"/>
  <c r="EZ75" i="7"/>
  <c r="EY75" i="7"/>
  <c r="EX75" i="7"/>
  <c r="EW75" i="7"/>
  <c r="EV75" i="7"/>
  <c r="EU75" i="7"/>
  <c r="ET75" i="7"/>
  <c r="ES75" i="7"/>
  <c r="ER75" i="7"/>
  <c r="EQ75" i="7"/>
  <c r="EP75" i="7"/>
  <c r="EO75" i="7"/>
  <c r="EN75" i="7"/>
  <c r="EM75" i="7"/>
  <c r="EL75" i="7"/>
  <c r="EK75" i="7"/>
  <c r="EJ75" i="7"/>
  <c r="EI75" i="7"/>
  <c r="EH75" i="7"/>
  <c r="EG75" i="7"/>
  <c r="EF75" i="7"/>
  <c r="EE75" i="7"/>
  <c r="ED75" i="7"/>
  <c r="EC75" i="7"/>
  <c r="EB75" i="7"/>
  <c r="EA75" i="7"/>
  <c r="DZ75" i="7"/>
  <c r="DY75" i="7"/>
  <c r="DX75" i="7"/>
  <c r="DW75" i="7"/>
  <c r="DV75" i="7"/>
  <c r="DU75" i="7"/>
  <c r="DT75" i="7"/>
  <c r="DS75" i="7"/>
  <c r="DR75" i="7"/>
  <c r="DQ75" i="7"/>
  <c r="DP75" i="7"/>
  <c r="DO75" i="7"/>
  <c r="DN75" i="7"/>
  <c r="DM75" i="7"/>
  <c r="DL75" i="7"/>
  <c r="DK75" i="7"/>
  <c r="DJ75" i="7"/>
  <c r="DI75" i="7"/>
  <c r="DH75" i="7"/>
  <c r="DG75" i="7"/>
  <c r="DF75" i="7"/>
  <c r="DE75" i="7"/>
  <c r="DD75" i="7"/>
  <c r="DC75" i="7"/>
  <c r="DB75" i="7"/>
  <c r="DA75" i="7"/>
  <c r="CZ75" i="7"/>
  <c r="CY75" i="7"/>
  <c r="CX75" i="7"/>
  <c r="CW75" i="7"/>
  <c r="CV75" i="7"/>
  <c r="CU75" i="7"/>
  <c r="CT75" i="7"/>
  <c r="CS75" i="7"/>
  <c r="CR75" i="7"/>
  <c r="CQ75" i="7"/>
  <c r="CP75" i="7"/>
  <c r="CO75" i="7"/>
  <c r="CN75" i="7"/>
  <c r="CM75" i="7"/>
  <c r="CL75" i="7"/>
  <c r="CK75" i="7"/>
  <c r="CJ75" i="7"/>
  <c r="CI75" i="7"/>
  <c r="CH75" i="7"/>
  <c r="CG75" i="7"/>
  <c r="CF75" i="7"/>
  <c r="CE75" i="7"/>
  <c r="CD75" i="7"/>
  <c r="CC75" i="7"/>
  <c r="CB75" i="7"/>
  <c r="CA75" i="7"/>
  <c r="BZ75" i="7"/>
  <c r="BY75" i="7"/>
  <c r="BX75" i="7"/>
  <c r="BW75" i="7"/>
  <c r="BV75" i="7"/>
  <c r="BU75" i="7"/>
  <c r="BT75" i="7"/>
  <c r="BS75" i="7"/>
  <c r="BR75" i="7"/>
  <c r="BQ75" i="7"/>
  <c r="BP75" i="7"/>
  <c r="BO75" i="7"/>
  <c r="BN75" i="7"/>
  <c r="BM75" i="7"/>
  <c r="BL75" i="7"/>
  <c r="BK75" i="7"/>
  <c r="BJ75" i="7"/>
  <c r="BI75" i="7"/>
  <c r="BH75" i="7"/>
  <c r="BG75" i="7"/>
  <c r="BF75" i="7"/>
  <c r="BE75" i="7"/>
  <c r="BD75" i="7"/>
  <c r="BC75" i="7"/>
  <c r="BB75" i="7"/>
  <c r="BA75" i="7"/>
  <c r="AZ75" i="7"/>
  <c r="AY75" i="7"/>
  <c r="AX75" i="7"/>
  <c r="AW75" i="7"/>
  <c r="AV75" i="7"/>
  <c r="AU75" i="7"/>
  <c r="AT75" i="7"/>
  <c r="AS75" i="7"/>
  <c r="AR75" i="7"/>
  <c r="AQ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A75" i="7"/>
  <c r="IV74" i="7"/>
  <c r="IU74" i="7"/>
  <c r="IT74" i="7"/>
  <c r="IS74" i="7"/>
  <c r="IR74" i="7"/>
  <c r="IQ74" i="7"/>
  <c r="IP74" i="7"/>
  <c r="IO74" i="7"/>
  <c r="IN74" i="7"/>
  <c r="IM74" i="7"/>
  <c r="IL74" i="7"/>
  <c r="IK74" i="7"/>
  <c r="IJ74" i="7"/>
  <c r="II74" i="7"/>
  <c r="IH74" i="7"/>
  <c r="IG74" i="7"/>
  <c r="IF74" i="7"/>
  <c r="IE74" i="7"/>
  <c r="ID74" i="7"/>
  <c r="IC74" i="7"/>
  <c r="IB74" i="7"/>
  <c r="IA74" i="7"/>
  <c r="HZ74" i="7"/>
  <c r="HY74" i="7"/>
  <c r="HX74" i="7"/>
  <c r="HW74" i="7"/>
  <c r="HV74" i="7"/>
  <c r="HU74" i="7"/>
  <c r="HT74" i="7"/>
  <c r="HS74" i="7"/>
  <c r="HR74" i="7"/>
  <c r="HQ74" i="7"/>
  <c r="HP74" i="7"/>
  <c r="HO74" i="7"/>
  <c r="HN74" i="7"/>
  <c r="HM74" i="7"/>
  <c r="HL74" i="7"/>
  <c r="HK74" i="7"/>
  <c r="HJ74" i="7"/>
  <c r="HI74" i="7"/>
  <c r="HH74" i="7"/>
  <c r="HG74" i="7"/>
  <c r="HF74" i="7"/>
  <c r="HE74" i="7"/>
  <c r="HD74" i="7"/>
  <c r="HC74" i="7"/>
  <c r="HB74" i="7"/>
  <c r="HA74" i="7"/>
  <c r="GZ74" i="7"/>
  <c r="GY74" i="7"/>
  <c r="GX74" i="7"/>
  <c r="GW74" i="7"/>
  <c r="GV74" i="7"/>
  <c r="GU74" i="7"/>
  <c r="GT74" i="7"/>
  <c r="GS74" i="7"/>
  <c r="GR74" i="7"/>
  <c r="GQ74" i="7"/>
  <c r="GP74" i="7"/>
  <c r="GO74" i="7"/>
  <c r="GN74" i="7"/>
  <c r="GM74" i="7"/>
  <c r="GL74" i="7"/>
  <c r="GK74" i="7"/>
  <c r="GJ74" i="7"/>
  <c r="GI74" i="7"/>
  <c r="GH74" i="7"/>
  <c r="GG74" i="7"/>
  <c r="GF74" i="7"/>
  <c r="GE74" i="7"/>
  <c r="GD74" i="7"/>
  <c r="GC74" i="7"/>
  <c r="GB74" i="7"/>
  <c r="GA74" i="7"/>
  <c r="FZ74" i="7"/>
  <c r="FY74" i="7"/>
  <c r="FX74" i="7"/>
  <c r="FW74" i="7"/>
  <c r="FV74" i="7"/>
  <c r="FU74" i="7"/>
  <c r="FT74" i="7"/>
  <c r="FS74" i="7"/>
  <c r="FR74" i="7"/>
  <c r="FQ74" i="7"/>
  <c r="FP74" i="7"/>
  <c r="FO74" i="7"/>
  <c r="FN74" i="7"/>
  <c r="FM74" i="7"/>
  <c r="FL74" i="7"/>
  <c r="FK74" i="7"/>
  <c r="FJ74" i="7"/>
  <c r="FI74" i="7"/>
  <c r="FH74" i="7"/>
  <c r="FG74" i="7"/>
  <c r="FF74" i="7"/>
  <c r="FE74" i="7"/>
  <c r="FD74" i="7"/>
  <c r="FC74" i="7"/>
  <c r="FB74" i="7"/>
  <c r="FA74" i="7"/>
  <c r="EZ74" i="7"/>
  <c r="EY74" i="7"/>
  <c r="EX74" i="7"/>
  <c r="EW74" i="7"/>
  <c r="EV74" i="7"/>
  <c r="EU74" i="7"/>
  <c r="ET74" i="7"/>
  <c r="ES74" i="7"/>
  <c r="ER74" i="7"/>
  <c r="EQ74" i="7"/>
  <c r="EP74" i="7"/>
  <c r="EO74" i="7"/>
  <c r="EN74" i="7"/>
  <c r="EM74" i="7"/>
  <c r="EL74" i="7"/>
  <c r="EK74" i="7"/>
  <c r="EJ74" i="7"/>
  <c r="EI74" i="7"/>
  <c r="EH74" i="7"/>
  <c r="EG74" i="7"/>
  <c r="EF74" i="7"/>
  <c r="EE74" i="7"/>
  <c r="ED74" i="7"/>
  <c r="EC74" i="7"/>
  <c r="EB74" i="7"/>
  <c r="EA74" i="7"/>
  <c r="DZ74" i="7"/>
  <c r="DY74" i="7"/>
  <c r="DX74" i="7"/>
  <c r="DW74" i="7"/>
  <c r="DV74" i="7"/>
  <c r="DU74" i="7"/>
  <c r="DT74" i="7"/>
  <c r="DS74" i="7"/>
  <c r="DR74" i="7"/>
  <c r="DQ74" i="7"/>
  <c r="DP74" i="7"/>
  <c r="DO74" i="7"/>
  <c r="DN74" i="7"/>
  <c r="DM74" i="7"/>
  <c r="DL74" i="7"/>
  <c r="DK74" i="7"/>
  <c r="DJ74" i="7"/>
  <c r="DI74" i="7"/>
  <c r="DH74" i="7"/>
  <c r="DG74" i="7"/>
  <c r="DF74" i="7"/>
  <c r="DE74" i="7"/>
  <c r="DD74" i="7"/>
  <c r="DC74" i="7"/>
  <c r="DB74" i="7"/>
  <c r="DA74" i="7"/>
  <c r="CZ74" i="7"/>
  <c r="CY74" i="7"/>
  <c r="CX74" i="7"/>
  <c r="CW74" i="7"/>
  <c r="CV74" i="7"/>
  <c r="CU74" i="7"/>
  <c r="CT74" i="7"/>
  <c r="CS74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BT74" i="7"/>
  <c r="BS74" i="7"/>
  <c r="BR74" i="7"/>
  <c r="BQ74" i="7"/>
  <c r="BP74" i="7"/>
  <c r="BO74" i="7"/>
  <c r="BN74" i="7"/>
  <c r="BM74" i="7"/>
  <c r="BL74" i="7"/>
  <c r="BK74" i="7"/>
  <c r="BJ74" i="7"/>
  <c r="BI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AR74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74" i="7"/>
  <c r="IV73" i="7"/>
  <c r="IU73" i="7"/>
  <c r="IT73" i="7"/>
  <c r="IS73" i="7"/>
  <c r="IR73" i="7"/>
  <c r="IQ73" i="7"/>
  <c r="IP73" i="7"/>
  <c r="IO73" i="7"/>
  <c r="IN73" i="7"/>
  <c r="IM73" i="7"/>
  <c r="IL73" i="7"/>
  <c r="IK73" i="7"/>
  <c r="IJ73" i="7"/>
  <c r="II73" i="7"/>
  <c r="IH73" i="7"/>
  <c r="IG73" i="7"/>
  <c r="IF73" i="7"/>
  <c r="IE73" i="7"/>
  <c r="ID73" i="7"/>
  <c r="IC73" i="7"/>
  <c r="IB73" i="7"/>
  <c r="IA73" i="7"/>
  <c r="HZ73" i="7"/>
  <c r="HY73" i="7"/>
  <c r="HX73" i="7"/>
  <c r="HW73" i="7"/>
  <c r="HV73" i="7"/>
  <c r="HU73" i="7"/>
  <c r="HT73" i="7"/>
  <c r="HS73" i="7"/>
  <c r="HR73" i="7"/>
  <c r="HQ73" i="7"/>
  <c r="HP73" i="7"/>
  <c r="HO73" i="7"/>
  <c r="HN73" i="7"/>
  <c r="HM73" i="7"/>
  <c r="HL73" i="7"/>
  <c r="HK73" i="7"/>
  <c r="HJ73" i="7"/>
  <c r="HI73" i="7"/>
  <c r="HH73" i="7"/>
  <c r="HG73" i="7"/>
  <c r="HF73" i="7"/>
  <c r="HE73" i="7"/>
  <c r="HD73" i="7"/>
  <c r="HC73" i="7"/>
  <c r="HB73" i="7"/>
  <c r="HA73" i="7"/>
  <c r="GZ73" i="7"/>
  <c r="GY73" i="7"/>
  <c r="GX73" i="7"/>
  <c r="GW73" i="7"/>
  <c r="GV73" i="7"/>
  <c r="GU73" i="7"/>
  <c r="GT73" i="7"/>
  <c r="GS73" i="7"/>
  <c r="GR73" i="7"/>
  <c r="GQ73" i="7"/>
  <c r="GP73" i="7"/>
  <c r="GO73" i="7"/>
  <c r="GN73" i="7"/>
  <c r="GM73" i="7"/>
  <c r="GL73" i="7"/>
  <c r="GK73" i="7"/>
  <c r="GJ73" i="7"/>
  <c r="GI73" i="7"/>
  <c r="GH73" i="7"/>
  <c r="GG73" i="7"/>
  <c r="GF73" i="7"/>
  <c r="GE73" i="7"/>
  <c r="GD73" i="7"/>
  <c r="GC73" i="7"/>
  <c r="GB73" i="7"/>
  <c r="GA73" i="7"/>
  <c r="FZ73" i="7"/>
  <c r="FY73" i="7"/>
  <c r="FX73" i="7"/>
  <c r="FW73" i="7"/>
  <c r="FV73" i="7"/>
  <c r="FU73" i="7"/>
  <c r="FT73" i="7"/>
  <c r="FS73" i="7"/>
  <c r="FR73" i="7"/>
  <c r="FQ73" i="7"/>
  <c r="FP73" i="7"/>
  <c r="FO73" i="7"/>
  <c r="FN73" i="7"/>
  <c r="FM73" i="7"/>
  <c r="FL73" i="7"/>
  <c r="FK73" i="7"/>
  <c r="FJ73" i="7"/>
  <c r="FI73" i="7"/>
  <c r="FH73" i="7"/>
  <c r="FG73" i="7"/>
  <c r="FF73" i="7"/>
  <c r="FE73" i="7"/>
  <c r="FD73" i="7"/>
  <c r="FC73" i="7"/>
  <c r="FB73" i="7"/>
  <c r="FA73" i="7"/>
  <c r="EZ73" i="7"/>
  <c r="EY73" i="7"/>
  <c r="EX73" i="7"/>
  <c r="EW73" i="7"/>
  <c r="EV73" i="7"/>
  <c r="EU73" i="7"/>
  <c r="ET73" i="7"/>
  <c r="ES73" i="7"/>
  <c r="ER73" i="7"/>
  <c r="EQ73" i="7"/>
  <c r="EP73" i="7"/>
  <c r="EO73" i="7"/>
  <c r="EN73" i="7"/>
  <c r="EM73" i="7"/>
  <c r="EL73" i="7"/>
  <c r="EK73" i="7"/>
  <c r="EJ73" i="7"/>
  <c r="EI73" i="7"/>
  <c r="EH73" i="7"/>
  <c r="EG73" i="7"/>
  <c r="EF73" i="7"/>
  <c r="EE73" i="7"/>
  <c r="ED73" i="7"/>
  <c r="EC73" i="7"/>
  <c r="EB73" i="7"/>
  <c r="EA73" i="7"/>
  <c r="DZ73" i="7"/>
  <c r="DY73" i="7"/>
  <c r="DX73" i="7"/>
  <c r="DW73" i="7"/>
  <c r="DV73" i="7"/>
  <c r="DU73" i="7"/>
  <c r="DT73" i="7"/>
  <c r="DS73" i="7"/>
  <c r="DR73" i="7"/>
  <c r="DQ73" i="7"/>
  <c r="DP73" i="7"/>
  <c r="DO73" i="7"/>
  <c r="DN73" i="7"/>
  <c r="DM73" i="7"/>
  <c r="DL73" i="7"/>
  <c r="DK73" i="7"/>
  <c r="DJ73" i="7"/>
  <c r="DI73" i="7"/>
  <c r="DH73" i="7"/>
  <c r="DG73" i="7"/>
  <c r="DF73" i="7"/>
  <c r="DE73" i="7"/>
  <c r="DD73" i="7"/>
  <c r="DC73" i="7"/>
  <c r="DB73" i="7"/>
  <c r="DA73" i="7"/>
  <c r="CZ73" i="7"/>
  <c r="CY73" i="7"/>
  <c r="CX73" i="7"/>
  <c r="CW73" i="7"/>
  <c r="CV73" i="7"/>
  <c r="CU73" i="7"/>
  <c r="CT73" i="7"/>
  <c r="CS73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CB73" i="7"/>
  <c r="CA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J73" i="7"/>
  <c r="BI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A73" i="7"/>
  <c r="IV72" i="7"/>
  <c r="IU72" i="7"/>
  <c r="IT72" i="7"/>
  <c r="IS72" i="7"/>
  <c r="IR72" i="7"/>
  <c r="IQ72" i="7"/>
  <c r="IP72" i="7"/>
  <c r="IO72" i="7"/>
  <c r="IN72" i="7"/>
  <c r="IM72" i="7"/>
  <c r="IL72" i="7"/>
  <c r="IK72" i="7"/>
  <c r="IJ72" i="7"/>
  <c r="II72" i="7"/>
  <c r="IH72" i="7"/>
  <c r="IG72" i="7"/>
  <c r="IF72" i="7"/>
  <c r="IE72" i="7"/>
  <c r="ID72" i="7"/>
  <c r="IC72" i="7"/>
  <c r="IB72" i="7"/>
  <c r="IA72" i="7"/>
  <c r="HZ72" i="7"/>
  <c r="HY72" i="7"/>
  <c r="HX72" i="7"/>
  <c r="HW72" i="7"/>
  <c r="HV72" i="7"/>
  <c r="HU72" i="7"/>
  <c r="HT72" i="7"/>
  <c r="HS72" i="7"/>
  <c r="HR72" i="7"/>
  <c r="HQ72" i="7"/>
  <c r="HP72" i="7"/>
  <c r="HO72" i="7"/>
  <c r="HN72" i="7"/>
  <c r="HM72" i="7"/>
  <c r="HL72" i="7"/>
  <c r="HK72" i="7"/>
  <c r="HJ72" i="7"/>
  <c r="HI72" i="7"/>
  <c r="HH72" i="7"/>
  <c r="HG72" i="7"/>
  <c r="HF72" i="7"/>
  <c r="HE72" i="7"/>
  <c r="HD72" i="7"/>
  <c r="HC72" i="7"/>
  <c r="HB72" i="7"/>
  <c r="HA72" i="7"/>
  <c r="GZ72" i="7"/>
  <c r="GY72" i="7"/>
  <c r="GX72" i="7"/>
  <c r="GW72" i="7"/>
  <c r="GV72" i="7"/>
  <c r="GU72" i="7"/>
  <c r="GT72" i="7"/>
  <c r="GS72" i="7"/>
  <c r="GR72" i="7"/>
  <c r="GQ72" i="7"/>
  <c r="GP72" i="7"/>
  <c r="GO72" i="7"/>
  <c r="GN72" i="7"/>
  <c r="GM72" i="7"/>
  <c r="GL72" i="7"/>
  <c r="GK72" i="7"/>
  <c r="GJ72" i="7"/>
  <c r="GI72" i="7"/>
  <c r="GH72" i="7"/>
  <c r="GG72" i="7"/>
  <c r="GF72" i="7"/>
  <c r="GE72" i="7"/>
  <c r="GD72" i="7"/>
  <c r="GC72" i="7"/>
  <c r="GB72" i="7"/>
  <c r="GA72" i="7"/>
  <c r="FZ72" i="7"/>
  <c r="FY72" i="7"/>
  <c r="FX72" i="7"/>
  <c r="FW72" i="7"/>
  <c r="FV72" i="7"/>
  <c r="FU72" i="7"/>
  <c r="FT72" i="7"/>
  <c r="FS72" i="7"/>
  <c r="FR72" i="7"/>
  <c r="FQ72" i="7"/>
  <c r="FP72" i="7"/>
  <c r="FO72" i="7"/>
  <c r="FN72" i="7"/>
  <c r="FM72" i="7"/>
  <c r="FL72" i="7"/>
  <c r="FK72" i="7"/>
  <c r="FJ72" i="7"/>
  <c r="FI72" i="7"/>
  <c r="FH72" i="7"/>
  <c r="FG72" i="7"/>
  <c r="FF72" i="7"/>
  <c r="FE72" i="7"/>
  <c r="FD72" i="7"/>
  <c r="FC72" i="7"/>
  <c r="FB72" i="7"/>
  <c r="FA72" i="7"/>
  <c r="EZ72" i="7"/>
  <c r="EY72" i="7"/>
  <c r="EX72" i="7"/>
  <c r="EW72" i="7"/>
  <c r="EV72" i="7"/>
  <c r="EU72" i="7"/>
  <c r="ET72" i="7"/>
  <c r="ES72" i="7"/>
  <c r="ER72" i="7"/>
  <c r="EQ72" i="7"/>
  <c r="EP72" i="7"/>
  <c r="EO72" i="7"/>
  <c r="EN72" i="7"/>
  <c r="EM72" i="7"/>
  <c r="EL72" i="7"/>
  <c r="EK72" i="7"/>
  <c r="EJ72" i="7"/>
  <c r="EI72" i="7"/>
  <c r="EH72" i="7"/>
  <c r="EG72" i="7"/>
  <c r="EF72" i="7"/>
  <c r="EE72" i="7"/>
  <c r="ED72" i="7"/>
  <c r="EC72" i="7"/>
  <c r="EB72" i="7"/>
  <c r="EA72" i="7"/>
  <c r="DZ72" i="7"/>
  <c r="DY72" i="7"/>
  <c r="DX72" i="7"/>
  <c r="DW72" i="7"/>
  <c r="DV72" i="7"/>
  <c r="DU72" i="7"/>
  <c r="DT72" i="7"/>
  <c r="DS72" i="7"/>
  <c r="DR72" i="7"/>
  <c r="DQ72" i="7"/>
  <c r="DP72" i="7"/>
  <c r="DO72" i="7"/>
  <c r="DN72" i="7"/>
  <c r="DM72" i="7"/>
  <c r="DL72" i="7"/>
  <c r="DK72" i="7"/>
  <c r="DJ72" i="7"/>
  <c r="DI72" i="7"/>
  <c r="DH72" i="7"/>
  <c r="DG72" i="7"/>
  <c r="DF72" i="7"/>
  <c r="DE72" i="7"/>
  <c r="DD72" i="7"/>
  <c r="DC72" i="7"/>
  <c r="DB72" i="7"/>
  <c r="DA72" i="7"/>
  <c r="CZ72" i="7"/>
  <c r="CY72" i="7"/>
  <c r="CX72" i="7"/>
  <c r="CW72" i="7"/>
  <c r="CV72" i="7"/>
  <c r="CU72" i="7"/>
  <c r="CT72" i="7"/>
  <c r="CS72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F72" i="7"/>
  <c r="CE72" i="7"/>
  <c r="CD72" i="7"/>
  <c r="CC72" i="7"/>
  <c r="CB72" i="7"/>
  <c r="CA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BN72" i="7"/>
  <c r="BM72" i="7"/>
  <c r="BL72" i="7"/>
  <c r="BK72" i="7"/>
  <c r="BJ72" i="7"/>
  <c r="BI72" i="7"/>
  <c r="BH72" i="7"/>
  <c r="BG72" i="7"/>
  <c r="BF72" i="7"/>
  <c r="BE72" i="7"/>
  <c r="BD72" i="7"/>
  <c r="BC72" i="7"/>
  <c r="BB72" i="7"/>
  <c r="BA72" i="7"/>
  <c r="AZ72" i="7"/>
  <c r="AY72" i="7"/>
  <c r="AX72" i="7"/>
  <c r="AW72" i="7"/>
  <c r="AV72" i="7"/>
  <c r="AU72" i="7"/>
  <c r="AT72" i="7"/>
  <c r="AS72" i="7"/>
  <c r="AR72" i="7"/>
  <c r="AQ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Z72" i="7"/>
  <c r="Y72" i="7"/>
  <c r="X72" i="7"/>
  <c r="W72" i="7"/>
  <c r="V72" i="7"/>
  <c r="U72" i="7"/>
  <c r="T72" i="7"/>
  <c r="S72" i="7"/>
  <c r="R72" i="7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B72" i="7"/>
  <c r="A72" i="7"/>
  <c r="IV71" i="7"/>
  <c r="IU71" i="7"/>
  <c r="IT71" i="7"/>
  <c r="IS71" i="7"/>
  <c r="IR71" i="7"/>
  <c r="IQ71" i="7"/>
  <c r="IP71" i="7"/>
  <c r="IO71" i="7"/>
  <c r="IN71" i="7"/>
  <c r="IM71" i="7"/>
  <c r="IL71" i="7"/>
  <c r="IK71" i="7"/>
  <c r="IJ71" i="7"/>
  <c r="II71" i="7"/>
  <c r="IH71" i="7"/>
  <c r="IG71" i="7"/>
  <c r="IF71" i="7"/>
  <c r="IE71" i="7"/>
  <c r="ID71" i="7"/>
  <c r="IC71" i="7"/>
  <c r="IB71" i="7"/>
  <c r="IA71" i="7"/>
  <c r="HZ71" i="7"/>
  <c r="HY71" i="7"/>
  <c r="HX71" i="7"/>
  <c r="HW71" i="7"/>
  <c r="HV71" i="7"/>
  <c r="HU71" i="7"/>
  <c r="HT71" i="7"/>
  <c r="HS71" i="7"/>
  <c r="HR71" i="7"/>
  <c r="HQ71" i="7"/>
  <c r="HP71" i="7"/>
  <c r="HO71" i="7"/>
  <c r="HN71" i="7"/>
  <c r="HM71" i="7"/>
  <c r="HL71" i="7"/>
  <c r="HK71" i="7"/>
  <c r="HJ71" i="7"/>
  <c r="HI71" i="7"/>
  <c r="HH71" i="7"/>
  <c r="HG71" i="7"/>
  <c r="HF71" i="7"/>
  <c r="HE71" i="7"/>
  <c r="HD71" i="7"/>
  <c r="HC71" i="7"/>
  <c r="HB71" i="7"/>
  <c r="HA71" i="7"/>
  <c r="GZ71" i="7"/>
  <c r="GY71" i="7"/>
  <c r="GX71" i="7"/>
  <c r="GW71" i="7"/>
  <c r="GV71" i="7"/>
  <c r="GU71" i="7"/>
  <c r="GT71" i="7"/>
  <c r="GS71" i="7"/>
  <c r="GR71" i="7"/>
  <c r="GQ71" i="7"/>
  <c r="GP71" i="7"/>
  <c r="GO71" i="7"/>
  <c r="GN71" i="7"/>
  <c r="GM71" i="7"/>
  <c r="GL71" i="7"/>
  <c r="GK71" i="7"/>
  <c r="GJ71" i="7"/>
  <c r="GI71" i="7"/>
  <c r="GH71" i="7"/>
  <c r="GG71" i="7"/>
  <c r="GF71" i="7"/>
  <c r="GE71" i="7"/>
  <c r="GD71" i="7"/>
  <c r="GC71" i="7"/>
  <c r="GB71" i="7"/>
  <c r="GA71" i="7"/>
  <c r="FZ71" i="7"/>
  <c r="FY71" i="7"/>
  <c r="FX71" i="7"/>
  <c r="FW71" i="7"/>
  <c r="FV71" i="7"/>
  <c r="FU71" i="7"/>
  <c r="FT71" i="7"/>
  <c r="FS71" i="7"/>
  <c r="FR71" i="7"/>
  <c r="FQ71" i="7"/>
  <c r="FP71" i="7"/>
  <c r="FO71" i="7"/>
  <c r="FN71" i="7"/>
  <c r="FM71" i="7"/>
  <c r="FL71" i="7"/>
  <c r="FK71" i="7"/>
  <c r="FJ71" i="7"/>
  <c r="FI71" i="7"/>
  <c r="FH71" i="7"/>
  <c r="FG71" i="7"/>
  <c r="FF71" i="7"/>
  <c r="FE71" i="7"/>
  <c r="FD71" i="7"/>
  <c r="FC71" i="7"/>
  <c r="FB71" i="7"/>
  <c r="FA71" i="7"/>
  <c r="EZ71" i="7"/>
  <c r="EY71" i="7"/>
  <c r="EX71" i="7"/>
  <c r="EW71" i="7"/>
  <c r="EV71" i="7"/>
  <c r="EU71" i="7"/>
  <c r="ET71" i="7"/>
  <c r="ES71" i="7"/>
  <c r="ER71" i="7"/>
  <c r="EQ71" i="7"/>
  <c r="EP71" i="7"/>
  <c r="EO71" i="7"/>
  <c r="EN71" i="7"/>
  <c r="EM71" i="7"/>
  <c r="EL71" i="7"/>
  <c r="EK71" i="7"/>
  <c r="EJ71" i="7"/>
  <c r="EI71" i="7"/>
  <c r="EH71" i="7"/>
  <c r="EG71" i="7"/>
  <c r="EF71" i="7"/>
  <c r="EE71" i="7"/>
  <c r="ED71" i="7"/>
  <c r="EC71" i="7"/>
  <c r="EB71" i="7"/>
  <c r="EA71" i="7"/>
  <c r="DZ71" i="7"/>
  <c r="DY71" i="7"/>
  <c r="DX71" i="7"/>
  <c r="DW71" i="7"/>
  <c r="DV71" i="7"/>
  <c r="DU71" i="7"/>
  <c r="DT71" i="7"/>
  <c r="DS71" i="7"/>
  <c r="DR71" i="7"/>
  <c r="DQ71" i="7"/>
  <c r="DP71" i="7"/>
  <c r="DO71" i="7"/>
  <c r="DN71" i="7"/>
  <c r="DM71" i="7"/>
  <c r="DL71" i="7"/>
  <c r="DK71" i="7"/>
  <c r="DJ71" i="7"/>
  <c r="DI71" i="7"/>
  <c r="DH71" i="7"/>
  <c r="DG71" i="7"/>
  <c r="DF71" i="7"/>
  <c r="DE71" i="7"/>
  <c r="DD71" i="7"/>
  <c r="DC71" i="7"/>
  <c r="DB71" i="7"/>
  <c r="DA71" i="7"/>
  <c r="CZ71" i="7"/>
  <c r="CY71" i="7"/>
  <c r="CX71" i="7"/>
  <c r="CW71" i="7"/>
  <c r="CV71" i="7"/>
  <c r="CU71" i="7"/>
  <c r="CT71" i="7"/>
  <c r="CS71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CB71" i="7"/>
  <c r="CA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M71" i="7"/>
  <c r="BL71" i="7"/>
  <c r="BK71" i="7"/>
  <c r="BJ71" i="7"/>
  <c r="BI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R71" i="7"/>
  <c r="AQ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Z71" i="7"/>
  <c r="Y71" i="7"/>
  <c r="X71" i="7"/>
  <c r="W71" i="7"/>
  <c r="V71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A71" i="7"/>
  <c r="IV70" i="7"/>
  <c r="IU70" i="7"/>
  <c r="IT70" i="7"/>
  <c r="IS70" i="7"/>
  <c r="IR70" i="7"/>
  <c r="IQ70" i="7"/>
  <c r="IP70" i="7"/>
  <c r="IO70" i="7"/>
  <c r="IN70" i="7"/>
  <c r="IM70" i="7"/>
  <c r="IL70" i="7"/>
  <c r="IK70" i="7"/>
  <c r="IJ70" i="7"/>
  <c r="II70" i="7"/>
  <c r="IH70" i="7"/>
  <c r="IG70" i="7"/>
  <c r="IF70" i="7"/>
  <c r="IE70" i="7"/>
  <c r="ID70" i="7"/>
  <c r="IC70" i="7"/>
  <c r="IB70" i="7"/>
  <c r="IA70" i="7"/>
  <c r="HZ70" i="7"/>
  <c r="HY70" i="7"/>
  <c r="HX70" i="7"/>
  <c r="HW70" i="7"/>
  <c r="HV70" i="7"/>
  <c r="HU70" i="7"/>
  <c r="HT70" i="7"/>
  <c r="HS70" i="7"/>
  <c r="HR70" i="7"/>
  <c r="HQ70" i="7"/>
  <c r="HP70" i="7"/>
  <c r="HO70" i="7"/>
  <c r="HN70" i="7"/>
  <c r="HM70" i="7"/>
  <c r="HL70" i="7"/>
  <c r="HK70" i="7"/>
  <c r="HJ70" i="7"/>
  <c r="HI70" i="7"/>
  <c r="HH70" i="7"/>
  <c r="HG70" i="7"/>
  <c r="HF70" i="7"/>
  <c r="HE70" i="7"/>
  <c r="HD70" i="7"/>
  <c r="HC70" i="7"/>
  <c r="HB70" i="7"/>
  <c r="HA70" i="7"/>
  <c r="GZ70" i="7"/>
  <c r="GY70" i="7"/>
  <c r="GX70" i="7"/>
  <c r="GW70" i="7"/>
  <c r="GV70" i="7"/>
  <c r="GU70" i="7"/>
  <c r="GT70" i="7"/>
  <c r="GS70" i="7"/>
  <c r="GR70" i="7"/>
  <c r="GQ70" i="7"/>
  <c r="GP70" i="7"/>
  <c r="GO70" i="7"/>
  <c r="GN70" i="7"/>
  <c r="GM70" i="7"/>
  <c r="GL70" i="7"/>
  <c r="GK70" i="7"/>
  <c r="GJ70" i="7"/>
  <c r="GI70" i="7"/>
  <c r="GH70" i="7"/>
  <c r="GG70" i="7"/>
  <c r="GF70" i="7"/>
  <c r="GE70" i="7"/>
  <c r="GD70" i="7"/>
  <c r="GC70" i="7"/>
  <c r="GB70" i="7"/>
  <c r="GA70" i="7"/>
  <c r="FZ70" i="7"/>
  <c r="FY70" i="7"/>
  <c r="FX70" i="7"/>
  <c r="FW70" i="7"/>
  <c r="FV70" i="7"/>
  <c r="FU70" i="7"/>
  <c r="FT70" i="7"/>
  <c r="FS70" i="7"/>
  <c r="FR70" i="7"/>
  <c r="FQ70" i="7"/>
  <c r="FP70" i="7"/>
  <c r="FO70" i="7"/>
  <c r="FN70" i="7"/>
  <c r="FM70" i="7"/>
  <c r="FL70" i="7"/>
  <c r="FK70" i="7"/>
  <c r="FJ70" i="7"/>
  <c r="FI70" i="7"/>
  <c r="FH70" i="7"/>
  <c r="FG70" i="7"/>
  <c r="FF70" i="7"/>
  <c r="FE70" i="7"/>
  <c r="FD70" i="7"/>
  <c r="FC70" i="7"/>
  <c r="FB70" i="7"/>
  <c r="FA70" i="7"/>
  <c r="EZ70" i="7"/>
  <c r="EY70" i="7"/>
  <c r="EX70" i="7"/>
  <c r="EW70" i="7"/>
  <c r="EV70" i="7"/>
  <c r="EU70" i="7"/>
  <c r="ET70" i="7"/>
  <c r="ES70" i="7"/>
  <c r="ER70" i="7"/>
  <c r="EQ70" i="7"/>
  <c r="EP70" i="7"/>
  <c r="EO70" i="7"/>
  <c r="EN70" i="7"/>
  <c r="EM70" i="7"/>
  <c r="EL70" i="7"/>
  <c r="EK70" i="7"/>
  <c r="EJ70" i="7"/>
  <c r="EI70" i="7"/>
  <c r="EH70" i="7"/>
  <c r="EG70" i="7"/>
  <c r="EF70" i="7"/>
  <c r="EE70" i="7"/>
  <c r="ED70" i="7"/>
  <c r="EC70" i="7"/>
  <c r="EB70" i="7"/>
  <c r="EA70" i="7"/>
  <c r="DZ70" i="7"/>
  <c r="DY70" i="7"/>
  <c r="DX70" i="7"/>
  <c r="DW70" i="7"/>
  <c r="DV70" i="7"/>
  <c r="DU70" i="7"/>
  <c r="DT70" i="7"/>
  <c r="DS70" i="7"/>
  <c r="DR70" i="7"/>
  <c r="DQ70" i="7"/>
  <c r="DP70" i="7"/>
  <c r="DO70" i="7"/>
  <c r="DN70" i="7"/>
  <c r="DM70" i="7"/>
  <c r="DL70" i="7"/>
  <c r="DK70" i="7"/>
  <c r="DJ70" i="7"/>
  <c r="DI70" i="7"/>
  <c r="DH70" i="7"/>
  <c r="DG70" i="7"/>
  <c r="DF70" i="7"/>
  <c r="DE70" i="7"/>
  <c r="DD70" i="7"/>
  <c r="DC70" i="7"/>
  <c r="DB70" i="7"/>
  <c r="DA70" i="7"/>
  <c r="CZ70" i="7"/>
  <c r="CY70" i="7"/>
  <c r="CX70" i="7"/>
  <c r="CW70" i="7"/>
  <c r="CV70" i="7"/>
  <c r="CU70" i="7"/>
  <c r="CT70" i="7"/>
  <c r="CS70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CB70" i="7"/>
  <c r="CA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J70" i="7"/>
  <c r="BI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R70" i="7"/>
  <c r="AQ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Z70" i="7"/>
  <c r="Y70" i="7"/>
  <c r="X70" i="7"/>
  <c r="W70" i="7"/>
  <c r="V70" i="7"/>
  <c r="U70" i="7"/>
  <c r="T70" i="7"/>
  <c r="S70" i="7"/>
  <c r="R70" i="7"/>
  <c r="Q70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A70" i="7"/>
  <c r="IV69" i="7"/>
  <c r="IU69" i="7"/>
  <c r="IT69" i="7"/>
  <c r="IS69" i="7"/>
  <c r="IR69" i="7"/>
  <c r="IQ69" i="7"/>
  <c r="IP69" i="7"/>
  <c r="IO69" i="7"/>
  <c r="IN69" i="7"/>
  <c r="IM69" i="7"/>
  <c r="IL69" i="7"/>
  <c r="IK69" i="7"/>
  <c r="IJ69" i="7"/>
  <c r="II69" i="7"/>
  <c r="IH69" i="7"/>
  <c r="IG69" i="7"/>
  <c r="IF69" i="7"/>
  <c r="IE69" i="7"/>
  <c r="ID69" i="7"/>
  <c r="IC69" i="7"/>
  <c r="IB69" i="7"/>
  <c r="IA69" i="7"/>
  <c r="HZ69" i="7"/>
  <c r="HY69" i="7"/>
  <c r="HX69" i="7"/>
  <c r="HW69" i="7"/>
  <c r="HV69" i="7"/>
  <c r="HU69" i="7"/>
  <c r="HT69" i="7"/>
  <c r="HS69" i="7"/>
  <c r="HR69" i="7"/>
  <c r="HQ69" i="7"/>
  <c r="HP69" i="7"/>
  <c r="HO69" i="7"/>
  <c r="HN69" i="7"/>
  <c r="HM69" i="7"/>
  <c r="HL69" i="7"/>
  <c r="HK69" i="7"/>
  <c r="HJ69" i="7"/>
  <c r="HI69" i="7"/>
  <c r="HH69" i="7"/>
  <c r="HG69" i="7"/>
  <c r="HF69" i="7"/>
  <c r="HE69" i="7"/>
  <c r="HD69" i="7"/>
  <c r="HC69" i="7"/>
  <c r="HB69" i="7"/>
  <c r="HA69" i="7"/>
  <c r="GZ69" i="7"/>
  <c r="GY69" i="7"/>
  <c r="GX69" i="7"/>
  <c r="GW69" i="7"/>
  <c r="GV69" i="7"/>
  <c r="GU69" i="7"/>
  <c r="GT69" i="7"/>
  <c r="GS69" i="7"/>
  <c r="GR69" i="7"/>
  <c r="GQ69" i="7"/>
  <c r="GP69" i="7"/>
  <c r="GO69" i="7"/>
  <c r="GN69" i="7"/>
  <c r="GM69" i="7"/>
  <c r="GL69" i="7"/>
  <c r="GK69" i="7"/>
  <c r="GJ69" i="7"/>
  <c r="GI69" i="7"/>
  <c r="GH69" i="7"/>
  <c r="GG69" i="7"/>
  <c r="GF69" i="7"/>
  <c r="GE69" i="7"/>
  <c r="GD69" i="7"/>
  <c r="GC69" i="7"/>
  <c r="GB69" i="7"/>
  <c r="GA69" i="7"/>
  <c r="FZ69" i="7"/>
  <c r="FY69" i="7"/>
  <c r="FX69" i="7"/>
  <c r="FW69" i="7"/>
  <c r="FV69" i="7"/>
  <c r="FU69" i="7"/>
  <c r="FT69" i="7"/>
  <c r="FS69" i="7"/>
  <c r="FR69" i="7"/>
  <c r="FQ69" i="7"/>
  <c r="FP69" i="7"/>
  <c r="FO69" i="7"/>
  <c r="FN69" i="7"/>
  <c r="FM69" i="7"/>
  <c r="FL69" i="7"/>
  <c r="FK69" i="7"/>
  <c r="FJ69" i="7"/>
  <c r="FI69" i="7"/>
  <c r="FH69" i="7"/>
  <c r="FG69" i="7"/>
  <c r="FF69" i="7"/>
  <c r="FE69" i="7"/>
  <c r="FD69" i="7"/>
  <c r="FC69" i="7"/>
  <c r="FB69" i="7"/>
  <c r="FA69" i="7"/>
  <c r="EZ69" i="7"/>
  <c r="EY69" i="7"/>
  <c r="EX69" i="7"/>
  <c r="EW69" i="7"/>
  <c r="EV69" i="7"/>
  <c r="EU69" i="7"/>
  <c r="ET69" i="7"/>
  <c r="ES69" i="7"/>
  <c r="ER69" i="7"/>
  <c r="EQ69" i="7"/>
  <c r="EP69" i="7"/>
  <c r="EO69" i="7"/>
  <c r="EN69" i="7"/>
  <c r="EM69" i="7"/>
  <c r="EL69" i="7"/>
  <c r="EK69" i="7"/>
  <c r="EJ69" i="7"/>
  <c r="EI69" i="7"/>
  <c r="EH69" i="7"/>
  <c r="EG69" i="7"/>
  <c r="EF69" i="7"/>
  <c r="EE69" i="7"/>
  <c r="ED69" i="7"/>
  <c r="EC69" i="7"/>
  <c r="EB69" i="7"/>
  <c r="EA69" i="7"/>
  <c r="DZ69" i="7"/>
  <c r="DY69" i="7"/>
  <c r="DX69" i="7"/>
  <c r="DW69" i="7"/>
  <c r="DV69" i="7"/>
  <c r="DU69" i="7"/>
  <c r="DT69" i="7"/>
  <c r="DS69" i="7"/>
  <c r="DR69" i="7"/>
  <c r="DQ69" i="7"/>
  <c r="DP69" i="7"/>
  <c r="DO69" i="7"/>
  <c r="DN69" i="7"/>
  <c r="DM69" i="7"/>
  <c r="DL69" i="7"/>
  <c r="DK69" i="7"/>
  <c r="DJ69" i="7"/>
  <c r="DI69" i="7"/>
  <c r="DH69" i="7"/>
  <c r="DG69" i="7"/>
  <c r="DF69" i="7"/>
  <c r="DE69" i="7"/>
  <c r="DD69" i="7"/>
  <c r="DC69" i="7"/>
  <c r="DB69" i="7"/>
  <c r="DA69" i="7"/>
  <c r="CZ69" i="7"/>
  <c r="CY69" i="7"/>
  <c r="CX69" i="7"/>
  <c r="CW69" i="7"/>
  <c r="CV69" i="7"/>
  <c r="CU69" i="7"/>
  <c r="CT69" i="7"/>
  <c r="CS69" i="7"/>
  <c r="CR69" i="7"/>
  <c r="CQ69" i="7"/>
  <c r="CP69" i="7"/>
  <c r="CO69" i="7"/>
  <c r="CN69" i="7"/>
  <c r="CM69" i="7"/>
  <c r="CL69" i="7"/>
  <c r="CK69" i="7"/>
  <c r="CJ69" i="7"/>
  <c r="CI69" i="7"/>
  <c r="CH69" i="7"/>
  <c r="CG69" i="7"/>
  <c r="CF69" i="7"/>
  <c r="CE69" i="7"/>
  <c r="CD69" i="7"/>
  <c r="CC69" i="7"/>
  <c r="CB69" i="7"/>
  <c r="CA69" i="7"/>
  <c r="BZ69" i="7"/>
  <c r="BY69" i="7"/>
  <c r="BX69" i="7"/>
  <c r="BW69" i="7"/>
  <c r="BV69" i="7"/>
  <c r="BU69" i="7"/>
  <c r="BT69" i="7"/>
  <c r="BS69" i="7"/>
  <c r="BR69" i="7"/>
  <c r="BQ69" i="7"/>
  <c r="BP69" i="7"/>
  <c r="BO69" i="7"/>
  <c r="BN69" i="7"/>
  <c r="BM69" i="7"/>
  <c r="BL69" i="7"/>
  <c r="BK69" i="7"/>
  <c r="BJ69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AR69" i="7"/>
  <c r="AQ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Z69" i="7"/>
  <c r="Y69" i="7"/>
  <c r="X69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A69" i="7"/>
  <c r="IV68" i="7"/>
  <c r="IU68" i="7"/>
  <c r="IT68" i="7"/>
  <c r="IS68" i="7"/>
  <c r="IR68" i="7"/>
  <c r="IQ68" i="7"/>
  <c r="IP68" i="7"/>
  <c r="IO68" i="7"/>
  <c r="IN68" i="7"/>
  <c r="IM68" i="7"/>
  <c r="IL68" i="7"/>
  <c r="IK68" i="7"/>
  <c r="IJ68" i="7"/>
  <c r="II68" i="7"/>
  <c r="IH68" i="7"/>
  <c r="IG68" i="7"/>
  <c r="IF68" i="7"/>
  <c r="IE68" i="7"/>
  <c r="ID68" i="7"/>
  <c r="IC68" i="7"/>
  <c r="IB68" i="7"/>
  <c r="IA68" i="7"/>
  <c r="HZ68" i="7"/>
  <c r="HY68" i="7"/>
  <c r="HX68" i="7"/>
  <c r="HW68" i="7"/>
  <c r="HV68" i="7"/>
  <c r="HU68" i="7"/>
  <c r="HT68" i="7"/>
  <c r="HS68" i="7"/>
  <c r="HR68" i="7"/>
  <c r="HQ68" i="7"/>
  <c r="HP68" i="7"/>
  <c r="HO68" i="7"/>
  <c r="HN68" i="7"/>
  <c r="HM68" i="7"/>
  <c r="HL68" i="7"/>
  <c r="HK68" i="7"/>
  <c r="HJ68" i="7"/>
  <c r="HI68" i="7"/>
  <c r="HH68" i="7"/>
  <c r="HG68" i="7"/>
  <c r="HF68" i="7"/>
  <c r="HE68" i="7"/>
  <c r="HD68" i="7"/>
  <c r="HC68" i="7"/>
  <c r="HB68" i="7"/>
  <c r="HA68" i="7"/>
  <c r="GZ68" i="7"/>
  <c r="GY68" i="7"/>
  <c r="GX68" i="7"/>
  <c r="GW68" i="7"/>
  <c r="GV68" i="7"/>
  <c r="GU68" i="7"/>
  <c r="GT68" i="7"/>
  <c r="GS68" i="7"/>
  <c r="GR68" i="7"/>
  <c r="GQ68" i="7"/>
  <c r="GP68" i="7"/>
  <c r="GO68" i="7"/>
  <c r="GN68" i="7"/>
  <c r="GM68" i="7"/>
  <c r="GL68" i="7"/>
  <c r="GK68" i="7"/>
  <c r="GJ68" i="7"/>
  <c r="GI68" i="7"/>
  <c r="GH68" i="7"/>
  <c r="GG68" i="7"/>
  <c r="GF68" i="7"/>
  <c r="GE68" i="7"/>
  <c r="GD68" i="7"/>
  <c r="GC68" i="7"/>
  <c r="GB68" i="7"/>
  <c r="GA68" i="7"/>
  <c r="FZ68" i="7"/>
  <c r="FY68" i="7"/>
  <c r="FX68" i="7"/>
  <c r="FW68" i="7"/>
  <c r="FV68" i="7"/>
  <c r="FU68" i="7"/>
  <c r="FT68" i="7"/>
  <c r="FS68" i="7"/>
  <c r="FR68" i="7"/>
  <c r="FQ68" i="7"/>
  <c r="FP68" i="7"/>
  <c r="FO68" i="7"/>
  <c r="FN68" i="7"/>
  <c r="FM68" i="7"/>
  <c r="FL68" i="7"/>
  <c r="FK68" i="7"/>
  <c r="FJ68" i="7"/>
  <c r="FI68" i="7"/>
  <c r="FH68" i="7"/>
  <c r="FG68" i="7"/>
  <c r="FF68" i="7"/>
  <c r="FE68" i="7"/>
  <c r="FD68" i="7"/>
  <c r="FC68" i="7"/>
  <c r="FB68" i="7"/>
  <c r="FA68" i="7"/>
  <c r="EZ68" i="7"/>
  <c r="EY68" i="7"/>
  <c r="EX68" i="7"/>
  <c r="EW68" i="7"/>
  <c r="EV68" i="7"/>
  <c r="EU68" i="7"/>
  <c r="ET68" i="7"/>
  <c r="ES68" i="7"/>
  <c r="ER68" i="7"/>
  <c r="EQ68" i="7"/>
  <c r="EP68" i="7"/>
  <c r="EO68" i="7"/>
  <c r="EN68" i="7"/>
  <c r="EM68" i="7"/>
  <c r="EL68" i="7"/>
  <c r="EK68" i="7"/>
  <c r="EJ68" i="7"/>
  <c r="EI68" i="7"/>
  <c r="EH68" i="7"/>
  <c r="EG68" i="7"/>
  <c r="EF68" i="7"/>
  <c r="EE68" i="7"/>
  <c r="ED68" i="7"/>
  <c r="EC68" i="7"/>
  <c r="EB68" i="7"/>
  <c r="EA68" i="7"/>
  <c r="DZ68" i="7"/>
  <c r="DY68" i="7"/>
  <c r="DX68" i="7"/>
  <c r="DW68" i="7"/>
  <c r="DV68" i="7"/>
  <c r="DU68" i="7"/>
  <c r="DT68" i="7"/>
  <c r="DS68" i="7"/>
  <c r="DR68" i="7"/>
  <c r="DQ68" i="7"/>
  <c r="DP68" i="7"/>
  <c r="DO68" i="7"/>
  <c r="DN68" i="7"/>
  <c r="DM68" i="7"/>
  <c r="DL68" i="7"/>
  <c r="DK68" i="7"/>
  <c r="DJ68" i="7"/>
  <c r="DI68" i="7"/>
  <c r="DH68" i="7"/>
  <c r="DG68" i="7"/>
  <c r="DF68" i="7"/>
  <c r="DE68" i="7"/>
  <c r="DD68" i="7"/>
  <c r="DC68" i="7"/>
  <c r="DB68" i="7"/>
  <c r="DA68" i="7"/>
  <c r="CZ68" i="7"/>
  <c r="CY68" i="7"/>
  <c r="CX68" i="7"/>
  <c r="CW68" i="7"/>
  <c r="CV68" i="7"/>
  <c r="CU68" i="7"/>
  <c r="CT68" i="7"/>
  <c r="CS68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CB68" i="7"/>
  <c r="CA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J68" i="7"/>
  <c r="BI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68" i="7"/>
  <c r="IV67" i="7"/>
  <c r="IU67" i="7"/>
  <c r="IT67" i="7"/>
  <c r="IS67" i="7"/>
  <c r="IR67" i="7"/>
  <c r="IQ67" i="7"/>
  <c r="IP67" i="7"/>
  <c r="IO67" i="7"/>
  <c r="IN67" i="7"/>
  <c r="IM67" i="7"/>
  <c r="IL67" i="7"/>
  <c r="IK67" i="7"/>
  <c r="IJ67" i="7"/>
  <c r="II67" i="7"/>
  <c r="IH67" i="7"/>
  <c r="IG67" i="7"/>
  <c r="IF67" i="7"/>
  <c r="IE67" i="7"/>
  <c r="ID67" i="7"/>
  <c r="IC67" i="7"/>
  <c r="IB67" i="7"/>
  <c r="IA67" i="7"/>
  <c r="HZ67" i="7"/>
  <c r="HY67" i="7"/>
  <c r="HX67" i="7"/>
  <c r="HW67" i="7"/>
  <c r="HV67" i="7"/>
  <c r="HU67" i="7"/>
  <c r="HT67" i="7"/>
  <c r="HS67" i="7"/>
  <c r="HR67" i="7"/>
  <c r="HQ67" i="7"/>
  <c r="HP67" i="7"/>
  <c r="HO67" i="7"/>
  <c r="HN67" i="7"/>
  <c r="HM67" i="7"/>
  <c r="HL67" i="7"/>
  <c r="HK67" i="7"/>
  <c r="HJ67" i="7"/>
  <c r="HI67" i="7"/>
  <c r="HH67" i="7"/>
  <c r="HG67" i="7"/>
  <c r="HF67" i="7"/>
  <c r="HE67" i="7"/>
  <c r="HD67" i="7"/>
  <c r="HC67" i="7"/>
  <c r="HB67" i="7"/>
  <c r="HA67" i="7"/>
  <c r="GZ67" i="7"/>
  <c r="GY67" i="7"/>
  <c r="GX67" i="7"/>
  <c r="GW67" i="7"/>
  <c r="GV67" i="7"/>
  <c r="GU67" i="7"/>
  <c r="GT67" i="7"/>
  <c r="GS67" i="7"/>
  <c r="GR67" i="7"/>
  <c r="GQ67" i="7"/>
  <c r="GP67" i="7"/>
  <c r="GO67" i="7"/>
  <c r="GN67" i="7"/>
  <c r="GM67" i="7"/>
  <c r="GL67" i="7"/>
  <c r="GK67" i="7"/>
  <c r="GJ67" i="7"/>
  <c r="GI67" i="7"/>
  <c r="GH67" i="7"/>
  <c r="GG67" i="7"/>
  <c r="GF67" i="7"/>
  <c r="GE67" i="7"/>
  <c r="GD67" i="7"/>
  <c r="GC67" i="7"/>
  <c r="GB67" i="7"/>
  <c r="GA67" i="7"/>
  <c r="FZ67" i="7"/>
  <c r="FY67" i="7"/>
  <c r="FX67" i="7"/>
  <c r="FW67" i="7"/>
  <c r="FV67" i="7"/>
  <c r="FU67" i="7"/>
  <c r="FT67" i="7"/>
  <c r="FS67" i="7"/>
  <c r="FR67" i="7"/>
  <c r="FQ67" i="7"/>
  <c r="FP67" i="7"/>
  <c r="FO67" i="7"/>
  <c r="FN67" i="7"/>
  <c r="FM67" i="7"/>
  <c r="FL67" i="7"/>
  <c r="FK67" i="7"/>
  <c r="FJ67" i="7"/>
  <c r="FI67" i="7"/>
  <c r="FH67" i="7"/>
  <c r="FG67" i="7"/>
  <c r="FF67" i="7"/>
  <c r="FE67" i="7"/>
  <c r="FD67" i="7"/>
  <c r="FC67" i="7"/>
  <c r="FB67" i="7"/>
  <c r="FA67" i="7"/>
  <c r="EZ67" i="7"/>
  <c r="EY67" i="7"/>
  <c r="EX67" i="7"/>
  <c r="EW67" i="7"/>
  <c r="EV67" i="7"/>
  <c r="EU67" i="7"/>
  <c r="ET67" i="7"/>
  <c r="ES67" i="7"/>
  <c r="ER67" i="7"/>
  <c r="EQ67" i="7"/>
  <c r="EP67" i="7"/>
  <c r="EO67" i="7"/>
  <c r="EN67" i="7"/>
  <c r="EM67" i="7"/>
  <c r="EL67" i="7"/>
  <c r="EK67" i="7"/>
  <c r="EJ67" i="7"/>
  <c r="EI67" i="7"/>
  <c r="EH67" i="7"/>
  <c r="EG67" i="7"/>
  <c r="EF67" i="7"/>
  <c r="EE67" i="7"/>
  <c r="ED67" i="7"/>
  <c r="EC67" i="7"/>
  <c r="EB67" i="7"/>
  <c r="EA67" i="7"/>
  <c r="DZ67" i="7"/>
  <c r="DY67" i="7"/>
  <c r="DX67" i="7"/>
  <c r="DW67" i="7"/>
  <c r="DV67" i="7"/>
  <c r="DU67" i="7"/>
  <c r="DT67" i="7"/>
  <c r="DS67" i="7"/>
  <c r="DR67" i="7"/>
  <c r="DQ67" i="7"/>
  <c r="DP67" i="7"/>
  <c r="DO67" i="7"/>
  <c r="DN67" i="7"/>
  <c r="DM67" i="7"/>
  <c r="DL67" i="7"/>
  <c r="DK67" i="7"/>
  <c r="DJ67" i="7"/>
  <c r="DI67" i="7"/>
  <c r="DH67" i="7"/>
  <c r="DG67" i="7"/>
  <c r="DF67" i="7"/>
  <c r="DE67" i="7"/>
  <c r="DD67" i="7"/>
  <c r="DC67" i="7"/>
  <c r="DB67" i="7"/>
  <c r="DA67" i="7"/>
  <c r="CZ67" i="7"/>
  <c r="CY67" i="7"/>
  <c r="CX67" i="7"/>
  <c r="CW67" i="7"/>
  <c r="CV67" i="7"/>
  <c r="CU67" i="7"/>
  <c r="CT67" i="7"/>
  <c r="CS67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CB67" i="7"/>
  <c r="CA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BJ67" i="7"/>
  <c r="BI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A67" i="7"/>
  <c r="IV66" i="7"/>
  <c r="IU66" i="7"/>
  <c r="IT66" i="7"/>
  <c r="IS66" i="7"/>
  <c r="IR66" i="7"/>
  <c r="IQ66" i="7"/>
  <c r="IP66" i="7"/>
  <c r="IO66" i="7"/>
  <c r="IN66" i="7"/>
  <c r="IM66" i="7"/>
  <c r="IL66" i="7"/>
  <c r="IK66" i="7"/>
  <c r="IJ66" i="7"/>
  <c r="II66" i="7"/>
  <c r="IH66" i="7"/>
  <c r="IG66" i="7"/>
  <c r="IF66" i="7"/>
  <c r="IE66" i="7"/>
  <c r="ID66" i="7"/>
  <c r="IC66" i="7"/>
  <c r="IB66" i="7"/>
  <c r="IA66" i="7"/>
  <c r="HZ66" i="7"/>
  <c r="HY66" i="7"/>
  <c r="HX66" i="7"/>
  <c r="HW66" i="7"/>
  <c r="HV66" i="7"/>
  <c r="HU66" i="7"/>
  <c r="HT66" i="7"/>
  <c r="HS66" i="7"/>
  <c r="HR66" i="7"/>
  <c r="HQ66" i="7"/>
  <c r="HP66" i="7"/>
  <c r="HO66" i="7"/>
  <c r="HN66" i="7"/>
  <c r="HM66" i="7"/>
  <c r="HL66" i="7"/>
  <c r="HK66" i="7"/>
  <c r="HJ66" i="7"/>
  <c r="HI66" i="7"/>
  <c r="HH66" i="7"/>
  <c r="HG66" i="7"/>
  <c r="HF66" i="7"/>
  <c r="HE66" i="7"/>
  <c r="HD66" i="7"/>
  <c r="HC66" i="7"/>
  <c r="HB66" i="7"/>
  <c r="HA66" i="7"/>
  <c r="GZ66" i="7"/>
  <c r="GY66" i="7"/>
  <c r="GX66" i="7"/>
  <c r="GW66" i="7"/>
  <c r="GV66" i="7"/>
  <c r="GU66" i="7"/>
  <c r="GT66" i="7"/>
  <c r="GS66" i="7"/>
  <c r="GR66" i="7"/>
  <c r="GQ66" i="7"/>
  <c r="GP66" i="7"/>
  <c r="GO66" i="7"/>
  <c r="GN66" i="7"/>
  <c r="GM66" i="7"/>
  <c r="GL66" i="7"/>
  <c r="GK66" i="7"/>
  <c r="GJ66" i="7"/>
  <c r="GI66" i="7"/>
  <c r="GH66" i="7"/>
  <c r="GG66" i="7"/>
  <c r="GF66" i="7"/>
  <c r="GE66" i="7"/>
  <c r="GD66" i="7"/>
  <c r="GC66" i="7"/>
  <c r="GB66" i="7"/>
  <c r="GA66" i="7"/>
  <c r="FZ66" i="7"/>
  <c r="FY66" i="7"/>
  <c r="FX66" i="7"/>
  <c r="FW66" i="7"/>
  <c r="FV66" i="7"/>
  <c r="FU66" i="7"/>
  <c r="FT66" i="7"/>
  <c r="FS66" i="7"/>
  <c r="FR66" i="7"/>
  <c r="FQ66" i="7"/>
  <c r="FP66" i="7"/>
  <c r="FO66" i="7"/>
  <c r="FN66" i="7"/>
  <c r="FM66" i="7"/>
  <c r="FL66" i="7"/>
  <c r="FK66" i="7"/>
  <c r="FJ66" i="7"/>
  <c r="FI66" i="7"/>
  <c r="FH66" i="7"/>
  <c r="FG66" i="7"/>
  <c r="FF66" i="7"/>
  <c r="FE66" i="7"/>
  <c r="FD66" i="7"/>
  <c r="FC66" i="7"/>
  <c r="FB66" i="7"/>
  <c r="FA66" i="7"/>
  <c r="EZ66" i="7"/>
  <c r="EY66" i="7"/>
  <c r="EX66" i="7"/>
  <c r="EW66" i="7"/>
  <c r="EV66" i="7"/>
  <c r="EU66" i="7"/>
  <c r="ET66" i="7"/>
  <c r="ES66" i="7"/>
  <c r="ER66" i="7"/>
  <c r="EQ66" i="7"/>
  <c r="EP66" i="7"/>
  <c r="EO66" i="7"/>
  <c r="EN66" i="7"/>
  <c r="EM66" i="7"/>
  <c r="EL66" i="7"/>
  <c r="EK66" i="7"/>
  <c r="EJ66" i="7"/>
  <c r="EI66" i="7"/>
  <c r="EH66" i="7"/>
  <c r="EG66" i="7"/>
  <c r="EF66" i="7"/>
  <c r="EE66" i="7"/>
  <c r="ED66" i="7"/>
  <c r="EC66" i="7"/>
  <c r="EB66" i="7"/>
  <c r="EA66" i="7"/>
  <c r="DZ66" i="7"/>
  <c r="DY66" i="7"/>
  <c r="DX66" i="7"/>
  <c r="DW66" i="7"/>
  <c r="DV66" i="7"/>
  <c r="DU66" i="7"/>
  <c r="DT66" i="7"/>
  <c r="DS66" i="7"/>
  <c r="DR66" i="7"/>
  <c r="DQ66" i="7"/>
  <c r="DP66" i="7"/>
  <c r="DO66" i="7"/>
  <c r="DN66" i="7"/>
  <c r="DM66" i="7"/>
  <c r="DL66" i="7"/>
  <c r="DK66" i="7"/>
  <c r="DJ66" i="7"/>
  <c r="DI66" i="7"/>
  <c r="DH66" i="7"/>
  <c r="DG66" i="7"/>
  <c r="DF66" i="7"/>
  <c r="DE66" i="7"/>
  <c r="DD66" i="7"/>
  <c r="DC66" i="7"/>
  <c r="DB66" i="7"/>
  <c r="DA66" i="7"/>
  <c r="CZ66" i="7"/>
  <c r="CY66" i="7"/>
  <c r="CX66" i="7"/>
  <c r="CW66" i="7"/>
  <c r="CV66" i="7"/>
  <c r="CU66" i="7"/>
  <c r="CT66" i="7"/>
  <c r="CS66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CB66" i="7"/>
  <c r="CA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M66" i="7"/>
  <c r="BL66" i="7"/>
  <c r="BK66" i="7"/>
  <c r="BJ66" i="7"/>
  <c r="BI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R66" i="7"/>
  <c r="AQ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A66" i="7"/>
  <c r="IV65" i="7"/>
  <c r="IU65" i="7"/>
  <c r="IT65" i="7"/>
  <c r="IS65" i="7"/>
  <c r="IR65" i="7"/>
  <c r="IQ65" i="7"/>
  <c r="IP65" i="7"/>
  <c r="IO65" i="7"/>
  <c r="IN65" i="7"/>
  <c r="IM65" i="7"/>
  <c r="IL65" i="7"/>
  <c r="IK65" i="7"/>
  <c r="IJ65" i="7"/>
  <c r="II65" i="7"/>
  <c r="IH65" i="7"/>
  <c r="IG65" i="7"/>
  <c r="IF65" i="7"/>
  <c r="IE65" i="7"/>
  <c r="ID65" i="7"/>
  <c r="IC65" i="7"/>
  <c r="IB65" i="7"/>
  <c r="IA65" i="7"/>
  <c r="HZ65" i="7"/>
  <c r="HY65" i="7"/>
  <c r="HX65" i="7"/>
  <c r="HW65" i="7"/>
  <c r="HV65" i="7"/>
  <c r="HU65" i="7"/>
  <c r="HT65" i="7"/>
  <c r="HS65" i="7"/>
  <c r="HR65" i="7"/>
  <c r="HQ65" i="7"/>
  <c r="HP65" i="7"/>
  <c r="HO65" i="7"/>
  <c r="HN65" i="7"/>
  <c r="HM65" i="7"/>
  <c r="HL65" i="7"/>
  <c r="HK65" i="7"/>
  <c r="HJ65" i="7"/>
  <c r="HI65" i="7"/>
  <c r="HH65" i="7"/>
  <c r="HG65" i="7"/>
  <c r="HF65" i="7"/>
  <c r="HE65" i="7"/>
  <c r="HD65" i="7"/>
  <c r="HC65" i="7"/>
  <c r="HB65" i="7"/>
  <c r="HA65" i="7"/>
  <c r="GZ65" i="7"/>
  <c r="GY65" i="7"/>
  <c r="GX65" i="7"/>
  <c r="GW65" i="7"/>
  <c r="GV65" i="7"/>
  <c r="GU65" i="7"/>
  <c r="GT65" i="7"/>
  <c r="GS65" i="7"/>
  <c r="GR65" i="7"/>
  <c r="GQ65" i="7"/>
  <c r="GP65" i="7"/>
  <c r="GO65" i="7"/>
  <c r="GN65" i="7"/>
  <c r="GM65" i="7"/>
  <c r="GL65" i="7"/>
  <c r="GK65" i="7"/>
  <c r="GJ65" i="7"/>
  <c r="GI65" i="7"/>
  <c r="GH65" i="7"/>
  <c r="GG65" i="7"/>
  <c r="GF65" i="7"/>
  <c r="GE65" i="7"/>
  <c r="GD65" i="7"/>
  <c r="GC65" i="7"/>
  <c r="GB65" i="7"/>
  <c r="GA65" i="7"/>
  <c r="FZ65" i="7"/>
  <c r="FY65" i="7"/>
  <c r="FX65" i="7"/>
  <c r="FW65" i="7"/>
  <c r="FV65" i="7"/>
  <c r="FU65" i="7"/>
  <c r="FT65" i="7"/>
  <c r="FS65" i="7"/>
  <c r="FR65" i="7"/>
  <c r="FQ65" i="7"/>
  <c r="FP65" i="7"/>
  <c r="FO65" i="7"/>
  <c r="FN65" i="7"/>
  <c r="FM65" i="7"/>
  <c r="FL65" i="7"/>
  <c r="FK65" i="7"/>
  <c r="FJ65" i="7"/>
  <c r="FI65" i="7"/>
  <c r="FH65" i="7"/>
  <c r="FG65" i="7"/>
  <c r="FF65" i="7"/>
  <c r="FE65" i="7"/>
  <c r="FD65" i="7"/>
  <c r="FC65" i="7"/>
  <c r="FB65" i="7"/>
  <c r="FA65" i="7"/>
  <c r="EZ65" i="7"/>
  <c r="EY65" i="7"/>
  <c r="EX65" i="7"/>
  <c r="EW65" i="7"/>
  <c r="EV65" i="7"/>
  <c r="EU65" i="7"/>
  <c r="ET65" i="7"/>
  <c r="ES65" i="7"/>
  <c r="ER65" i="7"/>
  <c r="EQ65" i="7"/>
  <c r="EP65" i="7"/>
  <c r="EO65" i="7"/>
  <c r="EN65" i="7"/>
  <c r="EM65" i="7"/>
  <c r="EL65" i="7"/>
  <c r="EK65" i="7"/>
  <c r="EJ65" i="7"/>
  <c r="EI65" i="7"/>
  <c r="EH65" i="7"/>
  <c r="EG65" i="7"/>
  <c r="EF65" i="7"/>
  <c r="EE65" i="7"/>
  <c r="ED65" i="7"/>
  <c r="EC65" i="7"/>
  <c r="EB65" i="7"/>
  <c r="EA65" i="7"/>
  <c r="DZ65" i="7"/>
  <c r="DY65" i="7"/>
  <c r="DX65" i="7"/>
  <c r="DW65" i="7"/>
  <c r="DV65" i="7"/>
  <c r="DU65" i="7"/>
  <c r="DT65" i="7"/>
  <c r="DS65" i="7"/>
  <c r="DR65" i="7"/>
  <c r="DQ65" i="7"/>
  <c r="DP65" i="7"/>
  <c r="DO65" i="7"/>
  <c r="DN65" i="7"/>
  <c r="DM65" i="7"/>
  <c r="DL65" i="7"/>
  <c r="DK65" i="7"/>
  <c r="DJ65" i="7"/>
  <c r="DI65" i="7"/>
  <c r="DH65" i="7"/>
  <c r="DG65" i="7"/>
  <c r="DF65" i="7"/>
  <c r="DE65" i="7"/>
  <c r="DD65" i="7"/>
  <c r="DC65" i="7"/>
  <c r="DB65" i="7"/>
  <c r="DA65" i="7"/>
  <c r="CZ65" i="7"/>
  <c r="CY65" i="7"/>
  <c r="CX65" i="7"/>
  <c r="CW65" i="7"/>
  <c r="CV65" i="7"/>
  <c r="CU65" i="7"/>
  <c r="CT65" i="7"/>
  <c r="CS65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F65" i="7"/>
  <c r="CE65" i="7"/>
  <c r="CD65" i="7"/>
  <c r="CC65" i="7"/>
  <c r="CB65" i="7"/>
  <c r="CA65" i="7"/>
  <c r="BZ65" i="7"/>
  <c r="BY65" i="7"/>
  <c r="BX65" i="7"/>
  <c r="BW65" i="7"/>
  <c r="BV65" i="7"/>
  <c r="BU65" i="7"/>
  <c r="BT65" i="7"/>
  <c r="BS65" i="7"/>
  <c r="BR65" i="7"/>
  <c r="BQ65" i="7"/>
  <c r="BP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65" i="7"/>
  <c r="IV64" i="7"/>
  <c r="IU64" i="7"/>
  <c r="IT64" i="7"/>
  <c r="IS64" i="7"/>
  <c r="IR64" i="7"/>
  <c r="IQ64" i="7"/>
  <c r="IP64" i="7"/>
  <c r="IO64" i="7"/>
  <c r="IN64" i="7"/>
  <c r="IM64" i="7"/>
  <c r="IL64" i="7"/>
  <c r="IK64" i="7"/>
  <c r="IJ64" i="7"/>
  <c r="II64" i="7"/>
  <c r="IH64" i="7"/>
  <c r="IG64" i="7"/>
  <c r="IF64" i="7"/>
  <c r="IE64" i="7"/>
  <c r="ID64" i="7"/>
  <c r="IC64" i="7"/>
  <c r="IB64" i="7"/>
  <c r="IA64" i="7"/>
  <c r="HZ64" i="7"/>
  <c r="HY64" i="7"/>
  <c r="HX64" i="7"/>
  <c r="HW64" i="7"/>
  <c r="HV64" i="7"/>
  <c r="HU64" i="7"/>
  <c r="HT64" i="7"/>
  <c r="HS64" i="7"/>
  <c r="HR64" i="7"/>
  <c r="HQ64" i="7"/>
  <c r="HP64" i="7"/>
  <c r="HO64" i="7"/>
  <c r="HN64" i="7"/>
  <c r="HM64" i="7"/>
  <c r="HL64" i="7"/>
  <c r="HK64" i="7"/>
  <c r="HJ64" i="7"/>
  <c r="HI64" i="7"/>
  <c r="HH64" i="7"/>
  <c r="HG64" i="7"/>
  <c r="HF64" i="7"/>
  <c r="HE64" i="7"/>
  <c r="HD64" i="7"/>
  <c r="HC64" i="7"/>
  <c r="HB64" i="7"/>
  <c r="HA64" i="7"/>
  <c r="GZ64" i="7"/>
  <c r="GY64" i="7"/>
  <c r="GX64" i="7"/>
  <c r="GW64" i="7"/>
  <c r="GV64" i="7"/>
  <c r="GU64" i="7"/>
  <c r="GT64" i="7"/>
  <c r="GS64" i="7"/>
  <c r="GR64" i="7"/>
  <c r="GQ64" i="7"/>
  <c r="GP64" i="7"/>
  <c r="GO64" i="7"/>
  <c r="GN64" i="7"/>
  <c r="GM64" i="7"/>
  <c r="GL64" i="7"/>
  <c r="GK64" i="7"/>
  <c r="GJ64" i="7"/>
  <c r="GI64" i="7"/>
  <c r="GH64" i="7"/>
  <c r="GG64" i="7"/>
  <c r="GF64" i="7"/>
  <c r="GE64" i="7"/>
  <c r="GD64" i="7"/>
  <c r="GC64" i="7"/>
  <c r="GB64" i="7"/>
  <c r="GA64" i="7"/>
  <c r="FZ64" i="7"/>
  <c r="FY64" i="7"/>
  <c r="FX64" i="7"/>
  <c r="FW64" i="7"/>
  <c r="FV64" i="7"/>
  <c r="FU64" i="7"/>
  <c r="FT64" i="7"/>
  <c r="FS64" i="7"/>
  <c r="FR64" i="7"/>
  <c r="FQ64" i="7"/>
  <c r="FP64" i="7"/>
  <c r="FO64" i="7"/>
  <c r="FN64" i="7"/>
  <c r="FM64" i="7"/>
  <c r="FL64" i="7"/>
  <c r="FK64" i="7"/>
  <c r="FJ64" i="7"/>
  <c r="FI64" i="7"/>
  <c r="FH64" i="7"/>
  <c r="FG64" i="7"/>
  <c r="FF64" i="7"/>
  <c r="FE64" i="7"/>
  <c r="FD64" i="7"/>
  <c r="FC64" i="7"/>
  <c r="FB64" i="7"/>
  <c r="FA64" i="7"/>
  <c r="EZ64" i="7"/>
  <c r="EY64" i="7"/>
  <c r="EX64" i="7"/>
  <c r="EW64" i="7"/>
  <c r="EV64" i="7"/>
  <c r="EU64" i="7"/>
  <c r="ET64" i="7"/>
  <c r="ES64" i="7"/>
  <c r="ER64" i="7"/>
  <c r="EQ64" i="7"/>
  <c r="EP64" i="7"/>
  <c r="EO64" i="7"/>
  <c r="EN64" i="7"/>
  <c r="EM64" i="7"/>
  <c r="EL64" i="7"/>
  <c r="EK64" i="7"/>
  <c r="EJ64" i="7"/>
  <c r="EI64" i="7"/>
  <c r="EH64" i="7"/>
  <c r="EG64" i="7"/>
  <c r="EF64" i="7"/>
  <c r="EE64" i="7"/>
  <c r="ED64" i="7"/>
  <c r="EC64" i="7"/>
  <c r="EB64" i="7"/>
  <c r="EA64" i="7"/>
  <c r="DZ64" i="7"/>
  <c r="DY64" i="7"/>
  <c r="DX64" i="7"/>
  <c r="DW64" i="7"/>
  <c r="DV64" i="7"/>
  <c r="DU64" i="7"/>
  <c r="DT64" i="7"/>
  <c r="DS64" i="7"/>
  <c r="DR64" i="7"/>
  <c r="DQ64" i="7"/>
  <c r="DP64" i="7"/>
  <c r="DO64" i="7"/>
  <c r="DN64" i="7"/>
  <c r="DM64" i="7"/>
  <c r="DL64" i="7"/>
  <c r="DK64" i="7"/>
  <c r="DJ64" i="7"/>
  <c r="DI64" i="7"/>
  <c r="DH64" i="7"/>
  <c r="DG64" i="7"/>
  <c r="DF64" i="7"/>
  <c r="DE64" i="7"/>
  <c r="DD64" i="7"/>
  <c r="DC64" i="7"/>
  <c r="DB64" i="7"/>
  <c r="DA64" i="7"/>
  <c r="CZ64" i="7"/>
  <c r="CY64" i="7"/>
  <c r="CX64" i="7"/>
  <c r="CW64" i="7"/>
  <c r="CV64" i="7"/>
  <c r="CU64" i="7"/>
  <c r="CT64" i="7"/>
  <c r="CS64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CB64" i="7"/>
  <c r="CA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J64" i="7"/>
  <c r="BI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A64" i="7"/>
  <c r="IV63" i="7"/>
  <c r="IU63" i="7"/>
  <c r="IT63" i="7"/>
  <c r="IS63" i="7"/>
  <c r="IR63" i="7"/>
  <c r="IQ63" i="7"/>
  <c r="IP63" i="7"/>
  <c r="IO63" i="7"/>
  <c r="IN63" i="7"/>
  <c r="IM63" i="7"/>
  <c r="IL63" i="7"/>
  <c r="IK63" i="7"/>
  <c r="IJ63" i="7"/>
  <c r="II63" i="7"/>
  <c r="IH63" i="7"/>
  <c r="IG63" i="7"/>
  <c r="IF63" i="7"/>
  <c r="IE63" i="7"/>
  <c r="ID63" i="7"/>
  <c r="IC63" i="7"/>
  <c r="IB63" i="7"/>
  <c r="IA63" i="7"/>
  <c r="HZ63" i="7"/>
  <c r="HY63" i="7"/>
  <c r="HX63" i="7"/>
  <c r="HW63" i="7"/>
  <c r="HV63" i="7"/>
  <c r="HU63" i="7"/>
  <c r="HT63" i="7"/>
  <c r="HS63" i="7"/>
  <c r="HR63" i="7"/>
  <c r="HQ63" i="7"/>
  <c r="HP63" i="7"/>
  <c r="HO63" i="7"/>
  <c r="HN63" i="7"/>
  <c r="HM63" i="7"/>
  <c r="HL63" i="7"/>
  <c r="HK63" i="7"/>
  <c r="HJ63" i="7"/>
  <c r="HI63" i="7"/>
  <c r="HH63" i="7"/>
  <c r="HG63" i="7"/>
  <c r="HF63" i="7"/>
  <c r="HE63" i="7"/>
  <c r="HD63" i="7"/>
  <c r="HC63" i="7"/>
  <c r="HB63" i="7"/>
  <c r="HA63" i="7"/>
  <c r="GZ63" i="7"/>
  <c r="GY63" i="7"/>
  <c r="GX63" i="7"/>
  <c r="GW63" i="7"/>
  <c r="GV63" i="7"/>
  <c r="GU63" i="7"/>
  <c r="GT63" i="7"/>
  <c r="GS63" i="7"/>
  <c r="GR63" i="7"/>
  <c r="GQ63" i="7"/>
  <c r="GP63" i="7"/>
  <c r="GO63" i="7"/>
  <c r="GN63" i="7"/>
  <c r="GM63" i="7"/>
  <c r="GL63" i="7"/>
  <c r="GK63" i="7"/>
  <c r="GJ63" i="7"/>
  <c r="GI63" i="7"/>
  <c r="GH63" i="7"/>
  <c r="GG63" i="7"/>
  <c r="GF63" i="7"/>
  <c r="GE63" i="7"/>
  <c r="GD63" i="7"/>
  <c r="GC63" i="7"/>
  <c r="GB63" i="7"/>
  <c r="GA63" i="7"/>
  <c r="FZ63" i="7"/>
  <c r="FY63" i="7"/>
  <c r="FX63" i="7"/>
  <c r="FW63" i="7"/>
  <c r="FV63" i="7"/>
  <c r="FU63" i="7"/>
  <c r="FT63" i="7"/>
  <c r="FS63" i="7"/>
  <c r="FR63" i="7"/>
  <c r="FQ63" i="7"/>
  <c r="FP63" i="7"/>
  <c r="FO63" i="7"/>
  <c r="FN63" i="7"/>
  <c r="FM63" i="7"/>
  <c r="FL63" i="7"/>
  <c r="FK63" i="7"/>
  <c r="FJ63" i="7"/>
  <c r="FI63" i="7"/>
  <c r="FH63" i="7"/>
  <c r="FG63" i="7"/>
  <c r="FF63" i="7"/>
  <c r="FE63" i="7"/>
  <c r="FD63" i="7"/>
  <c r="FC63" i="7"/>
  <c r="FB63" i="7"/>
  <c r="FA63" i="7"/>
  <c r="EZ63" i="7"/>
  <c r="EY63" i="7"/>
  <c r="EX63" i="7"/>
  <c r="EW63" i="7"/>
  <c r="EV63" i="7"/>
  <c r="EU63" i="7"/>
  <c r="ET63" i="7"/>
  <c r="ES63" i="7"/>
  <c r="ER63" i="7"/>
  <c r="EQ63" i="7"/>
  <c r="EP63" i="7"/>
  <c r="EO63" i="7"/>
  <c r="EN63" i="7"/>
  <c r="EM63" i="7"/>
  <c r="EL63" i="7"/>
  <c r="EK63" i="7"/>
  <c r="EJ63" i="7"/>
  <c r="EI63" i="7"/>
  <c r="EH63" i="7"/>
  <c r="EG63" i="7"/>
  <c r="EF63" i="7"/>
  <c r="EE63" i="7"/>
  <c r="ED63" i="7"/>
  <c r="EC63" i="7"/>
  <c r="EB63" i="7"/>
  <c r="EA63" i="7"/>
  <c r="DZ63" i="7"/>
  <c r="DY63" i="7"/>
  <c r="DX63" i="7"/>
  <c r="DW63" i="7"/>
  <c r="DV63" i="7"/>
  <c r="DU63" i="7"/>
  <c r="DT63" i="7"/>
  <c r="DS63" i="7"/>
  <c r="DR63" i="7"/>
  <c r="DQ63" i="7"/>
  <c r="DP63" i="7"/>
  <c r="DO63" i="7"/>
  <c r="DN63" i="7"/>
  <c r="DM63" i="7"/>
  <c r="DL63" i="7"/>
  <c r="DK63" i="7"/>
  <c r="DJ63" i="7"/>
  <c r="DI63" i="7"/>
  <c r="DH63" i="7"/>
  <c r="DG63" i="7"/>
  <c r="DF63" i="7"/>
  <c r="DE63" i="7"/>
  <c r="DD63" i="7"/>
  <c r="DC63" i="7"/>
  <c r="DB63" i="7"/>
  <c r="DA63" i="7"/>
  <c r="CZ63" i="7"/>
  <c r="CY63" i="7"/>
  <c r="CX63" i="7"/>
  <c r="CW63" i="7"/>
  <c r="CV63" i="7"/>
  <c r="CU63" i="7"/>
  <c r="CT63" i="7"/>
  <c r="CS63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N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A63" i="7"/>
  <c r="IV62" i="7"/>
  <c r="IU62" i="7"/>
  <c r="IT62" i="7"/>
  <c r="IS62" i="7"/>
  <c r="IR62" i="7"/>
  <c r="IQ62" i="7"/>
  <c r="IP62" i="7"/>
  <c r="IO62" i="7"/>
  <c r="IN62" i="7"/>
  <c r="IM62" i="7"/>
  <c r="IL62" i="7"/>
  <c r="IK62" i="7"/>
  <c r="IJ62" i="7"/>
  <c r="II62" i="7"/>
  <c r="IH62" i="7"/>
  <c r="IG62" i="7"/>
  <c r="IF62" i="7"/>
  <c r="IE62" i="7"/>
  <c r="ID62" i="7"/>
  <c r="IC62" i="7"/>
  <c r="IB62" i="7"/>
  <c r="IA62" i="7"/>
  <c r="HZ62" i="7"/>
  <c r="HY62" i="7"/>
  <c r="HX62" i="7"/>
  <c r="HW62" i="7"/>
  <c r="HV62" i="7"/>
  <c r="HU62" i="7"/>
  <c r="HT62" i="7"/>
  <c r="HS62" i="7"/>
  <c r="HR62" i="7"/>
  <c r="HQ62" i="7"/>
  <c r="HP62" i="7"/>
  <c r="HO62" i="7"/>
  <c r="HN62" i="7"/>
  <c r="HM62" i="7"/>
  <c r="HL62" i="7"/>
  <c r="HK62" i="7"/>
  <c r="HJ62" i="7"/>
  <c r="HI62" i="7"/>
  <c r="HH62" i="7"/>
  <c r="HG62" i="7"/>
  <c r="HF62" i="7"/>
  <c r="HE62" i="7"/>
  <c r="HD62" i="7"/>
  <c r="HC62" i="7"/>
  <c r="HB62" i="7"/>
  <c r="HA62" i="7"/>
  <c r="GZ62" i="7"/>
  <c r="GY62" i="7"/>
  <c r="GX62" i="7"/>
  <c r="GW62" i="7"/>
  <c r="GV62" i="7"/>
  <c r="GU62" i="7"/>
  <c r="GT62" i="7"/>
  <c r="GS62" i="7"/>
  <c r="GR62" i="7"/>
  <c r="GQ62" i="7"/>
  <c r="GP62" i="7"/>
  <c r="GO62" i="7"/>
  <c r="GN62" i="7"/>
  <c r="GM62" i="7"/>
  <c r="GL62" i="7"/>
  <c r="GK62" i="7"/>
  <c r="GJ62" i="7"/>
  <c r="GI62" i="7"/>
  <c r="GH62" i="7"/>
  <c r="GG62" i="7"/>
  <c r="GF62" i="7"/>
  <c r="GE62" i="7"/>
  <c r="GD62" i="7"/>
  <c r="GC62" i="7"/>
  <c r="GB62" i="7"/>
  <c r="GA62" i="7"/>
  <c r="FZ62" i="7"/>
  <c r="FY62" i="7"/>
  <c r="FX62" i="7"/>
  <c r="FW62" i="7"/>
  <c r="FV62" i="7"/>
  <c r="FU62" i="7"/>
  <c r="FT62" i="7"/>
  <c r="FS62" i="7"/>
  <c r="FR62" i="7"/>
  <c r="FQ62" i="7"/>
  <c r="FP62" i="7"/>
  <c r="FO62" i="7"/>
  <c r="FN62" i="7"/>
  <c r="FM62" i="7"/>
  <c r="FL62" i="7"/>
  <c r="FK62" i="7"/>
  <c r="FJ62" i="7"/>
  <c r="FI62" i="7"/>
  <c r="FH62" i="7"/>
  <c r="FG62" i="7"/>
  <c r="FF62" i="7"/>
  <c r="FE62" i="7"/>
  <c r="FD62" i="7"/>
  <c r="FC62" i="7"/>
  <c r="FB62" i="7"/>
  <c r="FA62" i="7"/>
  <c r="EZ62" i="7"/>
  <c r="EY62" i="7"/>
  <c r="EX62" i="7"/>
  <c r="EW62" i="7"/>
  <c r="EV62" i="7"/>
  <c r="EU62" i="7"/>
  <c r="ET62" i="7"/>
  <c r="ES62" i="7"/>
  <c r="ER62" i="7"/>
  <c r="EQ62" i="7"/>
  <c r="EP62" i="7"/>
  <c r="EO62" i="7"/>
  <c r="EN62" i="7"/>
  <c r="EM62" i="7"/>
  <c r="EL62" i="7"/>
  <c r="EK62" i="7"/>
  <c r="EJ62" i="7"/>
  <c r="EI62" i="7"/>
  <c r="EH62" i="7"/>
  <c r="EG62" i="7"/>
  <c r="EF62" i="7"/>
  <c r="EE62" i="7"/>
  <c r="ED62" i="7"/>
  <c r="EC62" i="7"/>
  <c r="EB62" i="7"/>
  <c r="EA62" i="7"/>
  <c r="DZ62" i="7"/>
  <c r="DY62" i="7"/>
  <c r="DX62" i="7"/>
  <c r="DW62" i="7"/>
  <c r="DV62" i="7"/>
  <c r="DU62" i="7"/>
  <c r="DT62" i="7"/>
  <c r="DS62" i="7"/>
  <c r="DR62" i="7"/>
  <c r="DQ62" i="7"/>
  <c r="DP62" i="7"/>
  <c r="DO62" i="7"/>
  <c r="DN62" i="7"/>
  <c r="DM62" i="7"/>
  <c r="DL62" i="7"/>
  <c r="DK62" i="7"/>
  <c r="DJ62" i="7"/>
  <c r="DI62" i="7"/>
  <c r="DH62" i="7"/>
  <c r="DG62" i="7"/>
  <c r="DF62" i="7"/>
  <c r="DE62" i="7"/>
  <c r="DD62" i="7"/>
  <c r="DC62" i="7"/>
  <c r="DB62" i="7"/>
  <c r="DA62" i="7"/>
  <c r="CZ62" i="7"/>
  <c r="CY62" i="7"/>
  <c r="CX62" i="7"/>
  <c r="CW62" i="7"/>
  <c r="CV62" i="7"/>
  <c r="CU62" i="7"/>
  <c r="CT62" i="7"/>
  <c r="CS62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A62" i="7"/>
  <c r="IV61" i="7"/>
  <c r="IU61" i="7"/>
  <c r="IT61" i="7"/>
  <c r="IS61" i="7"/>
  <c r="IR61" i="7"/>
  <c r="IQ61" i="7"/>
  <c r="IP61" i="7"/>
  <c r="IO61" i="7"/>
  <c r="IN61" i="7"/>
  <c r="IM61" i="7"/>
  <c r="IL61" i="7"/>
  <c r="IK61" i="7"/>
  <c r="IJ61" i="7"/>
  <c r="II61" i="7"/>
  <c r="IH61" i="7"/>
  <c r="IG61" i="7"/>
  <c r="IF61" i="7"/>
  <c r="IE61" i="7"/>
  <c r="ID61" i="7"/>
  <c r="IC61" i="7"/>
  <c r="IB61" i="7"/>
  <c r="IA61" i="7"/>
  <c r="HZ61" i="7"/>
  <c r="HY61" i="7"/>
  <c r="HX61" i="7"/>
  <c r="HW61" i="7"/>
  <c r="HV61" i="7"/>
  <c r="HU61" i="7"/>
  <c r="HT61" i="7"/>
  <c r="HS61" i="7"/>
  <c r="HR61" i="7"/>
  <c r="HQ61" i="7"/>
  <c r="HP61" i="7"/>
  <c r="HO61" i="7"/>
  <c r="HN61" i="7"/>
  <c r="HM61" i="7"/>
  <c r="HL61" i="7"/>
  <c r="HK61" i="7"/>
  <c r="HJ61" i="7"/>
  <c r="HI61" i="7"/>
  <c r="HH61" i="7"/>
  <c r="HG61" i="7"/>
  <c r="HF61" i="7"/>
  <c r="HE61" i="7"/>
  <c r="HD61" i="7"/>
  <c r="HC61" i="7"/>
  <c r="HB61" i="7"/>
  <c r="HA61" i="7"/>
  <c r="GZ61" i="7"/>
  <c r="GY61" i="7"/>
  <c r="GX61" i="7"/>
  <c r="GW61" i="7"/>
  <c r="GV61" i="7"/>
  <c r="GU61" i="7"/>
  <c r="GT61" i="7"/>
  <c r="GS61" i="7"/>
  <c r="GR61" i="7"/>
  <c r="GQ61" i="7"/>
  <c r="GP61" i="7"/>
  <c r="GO61" i="7"/>
  <c r="GN61" i="7"/>
  <c r="GM61" i="7"/>
  <c r="GL61" i="7"/>
  <c r="GK61" i="7"/>
  <c r="GJ61" i="7"/>
  <c r="GI61" i="7"/>
  <c r="GH61" i="7"/>
  <c r="GG61" i="7"/>
  <c r="GF61" i="7"/>
  <c r="GE61" i="7"/>
  <c r="GD61" i="7"/>
  <c r="GC61" i="7"/>
  <c r="GB61" i="7"/>
  <c r="GA61" i="7"/>
  <c r="FZ61" i="7"/>
  <c r="FY61" i="7"/>
  <c r="FX61" i="7"/>
  <c r="FW61" i="7"/>
  <c r="FV61" i="7"/>
  <c r="FU61" i="7"/>
  <c r="FT61" i="7"/>
  <c r="FS61" i="7"/>
  <c r="FR61" i="7"/>
  <c r="FQ61" i="7"/>
  <c r="FP61" i="7"/>
  <c r="FO61" i="7"/>
  <c r="FN61" i="7"/>
  <c r="FM61" i="7"/>
  <c r="FL61" i="7"/>
  <c r="FK61" i="7"/>
  <c r="FJ61" i="7"/>
  <c r="FI61" i="7"/>
  <c r="FH61" i="7"/>
  <c r="FG61" i="7"/>
  <c r="FF61" i="7"/>
  <c r="FE61" i="7"/>
  <c r="FD61" i="7"/>
  <c r="FC61" i="7"/>
  <c r="FB61" i="7"/>
  <c r="FA61" i="7"/>
  <c r="EZ61" i="7"/>
  <c r="EY61" i="7"/>
  <c r="EX61" i="7"/>
  <c r="EW61" i="7"/>
  <c r="EV61" i="7"/>
  <c r="EU61" i="7"/>
  <c r="ET61" i="7"/>
  <c r="ES61" i="7"/>
  <c r="ER61" i="7"/>
  <c r="EQ61" i="7"/>
  <c r="EP61" i="7"/>
  <c r="EO61" i="7"/>
  <c r="EN61" i="7"/>
  <c r="EM61" i="7"/>
  <c r="EL61" i="7"/>
  <c r="EK61" i="7"/>
  <c r="EJ61" i="7"/>
  <c r="EI61" i="7"/>
  <c r="EH61" i="7"/>
  <c r="EG61" i="7"/>
  <c r="EF61" i="7"/>
  <c r="EE61" i="7"/>
  <c r="ED61" i="7"/>
  <c r="EC61" i="7"/>
  <c r="EB61" i="7"/>
  <c r="EA61" i="7"/>
  <c r="DZ61" i="7"/>
  <c r="DY61" i="7"/>
  <c r="DX61" i="7"/>
  <c r="DW61" i="7"/>
  <c r="DV61" i="7"/>
  <c r="DU61" i="7"/>
  <c r="DT61" i="7"/>
  <c r="DS61" i="7"/>
  <c r="DR61" i="7"/>
  <c r="DQ61" i="7"/>
  <c r="DP61" i="7"/>
  <c r="DO61" i="7"/>
  <c r="DN61" i="7"/>
  <c r="DM61" i="7"/>
  <c r="DL61" i="7"/>
  <c r="DK61" i="7"/>
  <c r="DJ61" i="7"/>
  <c r="DI61" i="7"/>
  <c r="DH61" i="7"/>
  <c r="DG61" i="7"/>
  <c r="DF61" i="7"/>
  <c r="DE61" i="7"/>
  <c r="DD61" i="7"/>
  <c r="DC61" i="7"/>
  <c r="DB61" i="7"/>
  <c r="DA61" i="7"/>
  <c r="CZ61" i="7"/>
  <c r="CY61" i="7"/>
  <c r="CX61" i="7"/>
  <c r="CW61" i="7"/>
  <c r="CV61" i="7"/>
  <c r="CU61" i="7"/>
  <c r="CT61" i="7"/>
  <c r="CS61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A61" i="7"/>
  <c r="IV60" i="7"/>
  <c r="IU60" i="7"/>
  <c r="IT60" i="7"/>
  <c r="IS60" i="7"/>
  <c r="IR60" i="7"/>
  <c r="IQ60" i="7"/>
  <c r="IP60" i="7"/>
  <c r="IO60" i="7"/>
  <c r="IN60" i="7"/>
  <c r="IM60" i="7"/>
  <c r="IL60" i="7"/>
  <c r="IK60" i="7"/>
  <c r="IJ60" i="7"/>
  <c r="II60" i="7"/>
  <c r="IH60" i="7"/>
  <c r="IG60" i="7"/>
  <c r="IF60" i="7"/>
  <c r="IE60" i="7"/>
  <c r="ID60" i="7"/>
  <c r="IC60" i="7"/>
  <c r="IB60" i="7"/>
  <c r="IA60" i="7"/>
  <c r="HZ60" i="7"/>
  <c r="HY60" i="7"/>
  <c r="HX60" i="7"/>
  <c r="HW60" i="7"/>
  <c r="HV60" i="7"/>
  <c r="HU60" i="7"/>
  <c r="HT60" i="7"/>
  <c r="HS60" i="7"/>
  <c r="HR60" i="7"/>
  <c r="HQ60" i="7"/>
  <c r="HP60" i="7"/>
  <c r="HO60" i="7"/>
  <c r="HN60" i="7"/>
  <c r="HM60" i="7"/>
  <c r="HL60" i="7"/>
  <c r="HK60" i="7"/>
  <c r="HJ60" i="7"/>
  <c r="HI60" i="7"/>
  <c r="HH60" i="7"/>
  <c r="HG60" i="7"/>
  <c r="HF60" i="7"/>
  <c r="HE60" i="7"/>
  <c r="HD60" i="7"/>
  <c r="HC60" i="7"/>
  <c r="HB60" i="7"/>
  <c r="HA60" i="7"/>
  <c r="GZ60" i="7"/>
  <c r="GY60" i="7"/>
  <c r="GX60" i="7"/>
  <c r="GW60" i="7"/>
  <c r="GV60" i="7"/>
  <c r="GU60" i="7"/>
  <c r="GT60" i="7"/>
  <c r="GS60" i="7"/>
  <c r="GR60" i="7"/>
  <c r="GQ60" i="7"/>
  <c r="GP60" i="7"/>
  <c r="GO60" i="7"/>
  <c r="GN60" i="7"/>
  <c r="GM60" i="7"/>
  <c r="GL60" i="7"/>
  <c r="GK60" i="7"/>
  <c r="GJ60" i="7"/>
  <c r="GI60" i="7"/>
  <c r="GH60" i="7"/>
  <c r="GG60" i="7"/>
  <c r="GF60" i="7"/>
  <c r="GE60" i="7"/>
  <c r="GD60" i="7"/>
  <c r="GC60" i="7"/>
  <c r="GB60" i="7"/>
  <c r="GA60" i="7"/>
  <c r="FZ60" i="7"/>
  <c r="FY60" i="7"/>
  <c r="FX60" i="7"/>
  <c r="FW60" i="7"/>
  <c r="FV60" i="7"/>
  <c r="FU60" i="7"/>
  <c r="FT60" i="7"/>
  <c r="FS60" i="7"/>
  <c r="FR60" i="7"/>
  <c r="FQ60" i="7"/>
  <c r="FP60" i="7"/>
  <c r="FO60" i="7"/>
  <c r="FN60" i="7"/>
  <c r="FM60" i="7"/>
  <c r="FL60" i="7"/>
  <c r="FK60" i="7"/>
  <c r="FJ60" i="7"/>
  <c r="FI60" i="7"/>
  <c r="FH60" i="7"/>
  <c r="FG60" i="7"/>
  <c r="FF60" i="7"/>
  <c r="FE60" i="7"/>
  <c r="FD60" i="7"/>
  <c r="FC60" i="7"/>
  <c r="FB60" i="7"/>
  <c r="FA60" i="7"/>
  <c r="EZ60" i="7"/>
  <c r="EY60" i="7"/>
  <c r="EX60" i="7"/>
  <c r="EW60" i="7"/>
  <c r="EV60" i="7"/>
  <c r="EU60" i="7"/>
  <c r="ET60" i="7"/>
  <c r="ES60" i="7"/>
  <c r="ER60" i="7"/>
  <c r="EQ60" i="7"/>
  <c r="EP60" i="7"/>
  <c r="EO60" i="7"/>
  <c r="EN60" i="7"/>
  <c r="EM60" i="7"/>
  <c r="EL60" i="7"/>
  <c r="EK60" i="7"/>
  <c r="EJ60" i="7"/>
  <c r="EI60" i="7"/>
  <c r="EH60" i="7"/>
  <c r="EG60" i="7"/>
  <c r="EF60" i="7"/>
  <c r="EE60" i="7"/>
  <c r="ED60" i="7"/>
  <c r="EC60" i="7"/>
  <c r="EB60" i="7"/>
  <c r="EA60" i="7"/>
  <c r="DZ60" i="7"/>
  <c r="DY60" i="7"/>
  <c r="DX60" i="7"/>
  <c r="DW60" i="7"/>
  <c r="DV60" i="7"/>
  <c r="DU60" i="7"/>
  <c r="DT60" i="7"/>
  <c r="DS60" i="7"/>
  <c r="DR60" i="7"/>
  <c r="DQ60" i="7"/>
  <c r="DP60" i="7"/>
  <c r="DO60" i="7"/>
  <c r="DN60" i="7"/>
  <c r="DM60" i="7"/>
  <c r="DL60" i="7"/>
  <c r="DK60" i="7"/>
  <c r="DJ60" i="7"/>
  <c r="DI60" i="7"/>
  <c r="DH60" i="7"/>
  <c r="DG60" i="7"/>
  <c r="DF60" i="7"/>
  <c r="DE60" i="7"/>
  <c r="DD60" i="7"/>
  <c r="DC60" i="7"/>
  <c r="DB60" i="7"/>
  <c r="DA60" i="7"/>
  <c r="CZ60" i="7"/>
  <c r="CY60" i="7"/>
  <c r="CX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A60" i="7"/>
  <c r="IV59" i="7"/>
  <c r="IU59" i="7"/>
  <c r="IT59" i="7"/>
  <c r="IS59" i="7"/>
  <c r="IR59" i="7"/>
  <c r="IQ59" i="7"/>
  <c r="IP59" i="7"/>
  <c r="IO59" i="7"/>
  <c r="IN59" i="7"/>
  <c r="IM59" i="7"/>
  <c r="IL59" i="7"/>
  <c r="IK59" i="7"/>
  <c r="IJ59" i="7"/>
  <c r="II59" i="7"/>
  <c r="IH59" i="7"/>
  <c r="IG59" i="7"/>
  <c r="IF59" i="7"/>
  <c r="IE59" i="7"/>
  <c r="ID59" i="7"/>
  <c r="IC59" i="7"/>
  <c r="IB59" i="7"/>
  <c r="IA59" i="7"/>
  <c r="HZ59" i="7"/>
  <c r="HY59" i="7"/>
  <c r="HX59" i="7"/>
  <c r="HW59" i="7"/>
  <c r="HV59" i="7"/>
  <c r="HU59" i="7"/>
  <c r="HT59" i="7"/>
  <c r="HS59" i="7"/>
  <c r="HR59" i="7"/>
  <c r="HQ59" i="7"/>
  <c r="HP59" i="7"/>
  <c r="HO59" i="7"/>
  <c r="HN59" i="7"/>
  <c r="HM59" i="7"/>
  <c r="HL59" i="7"/>
  <c r="HK59" i="7"/>
  <c r="HJ59" i="7"/>
  <c r="HI59" i="7"/>
  <c r="HH59" i="7"/>
  <c r="HG59" i="7"/>
  <c r="HF59" i="7"/>
  <c r="HE59" i="7"/>
  <c r="HD59" i="7"/>
  <c r="HC59" i="7"/>
  <c r="HB59" i="7"/>
  <c r="HA59" i="7"/>
  <c r="GZ59" i="7"/>
  <c r="GY59" i="7"/>
  <c r="GX59" i="7"/>
  <c r="GW59" i="7"/>
  <c r="GV59" i="7"/>
  <c r="GU59" i="7"/>
  <c r="GT59" i="7"/>
  <c r="GS59" i="7"/>
  <c r="GR59" i="7"/>
  <c r="GQ59" i="7"/>
  <c r="GP59" i="7"/>
  <c r="GO59" i="7"/>
  <c r="GN59" i="7"/>
  <c r="GM59" i="7"/>
  <c r="GL59" i="7"/>
  <c r="GK59" i="7"/>
  <c r="GJ59" i="7"/>
  <c r="GI59" i="7"/>
  <c r="GH59" i="7"/>
  <c r="GG59" i="7"/>
  <c r="GF59" i="7"/>
  <c r="GE59" i="7"/>
  <c r="GD59" i="7"/>
  <c r="GC59" i="7"/>
  <c r="GB59" i="7"/>
  <c r="GA59" i="7"/>
  <c r="FZ59" i="7"/>
  <c r="FY59" i="7"/>
  <c r="FX59" i="7"/>
  <c r="FW59" i="7"/>
  <c r="FV59" i="7"/>
  <c r="FU59" i="7"/>
  <c r="FT59" i="7"/>
  <c r="FS59" i="7"/>
  <c r="FR59" i="7"/>
  <c r="FQ59" i="7"/>
  <c r="FP59" i="7"/>
  <c r="FO59" i="7"/>
  <c r="FN59" i="7"/>
  <c r="FM59" i="7"/>
  <c r="FL59" i="7"/>
  <c r="FK59" i="7"/>
  <c r="FJ59" i="7"/>
  <c r="FI59" i="7"/>
  <c r="FH59" i="7"/>
  <c r="FG59" i="7"/>
  <c r="FF59" i="7"/>
  <c r="FE59" i="7"/>
  <c r="FD59" i="7"/>
  <c r="FC59" i="7"/>
  <c r="FB59" i="7"/>
  <c r="FA59" i="7"/>
  <c r="EZ59" i="7"/>
  <c r="EY59" i="7"/>
  <c r="EX59" i="7"/>
  <c r="EW59" i="7"/>
  <c r="EV59" i="7"/>
  <c r="EU59" i="7"/>
  <c r="ET59" i="7"/>
  <c r="ES59" i="7"/>
  <c r="ER59" i="7"/>
  <c r="EQ59" i="7"/>
  <c r="EP59" i="7"/>
  <c r="EO59" i="7"/>
  <c r="EN59" i="7"/>
  <c r="EM59" i="7"/>
  <c r="EL59" i="7"/>
  <c r="EK59" i="7"/>
  <c r="EJ59" i="7"/>
  <c r="EI59" i="7"/>
  <c r="EH59" i="7"/>
  <c r="EG59" i="7"/>
  <c r="EF59" i="7"/>
  <c r="EE59" i="7"/>
  <c r="ED59" i="7"/>
  <c r="EC59" i="7"/>
  <c r="EB59" i="7"/>
  <c r="EA59" i="7"/>
  <c r="DZ59" i="7"/>
  <c r="DY59" i="7"/>
  <c r="DX59" i="7"/>
  <c r="DW59" i="7"/>
  <c r="DV59" i="7"/>
  <c r="DU59" i="7"/>
  <c r="DT59" i="7"/>
  <c r="DS59" i="7"/>
  <c r="DR59" i="7"/>
  <c r="DQ59" i="7"/>
  <c r="DP59" i="7"/>
  <c r="DO59" i="7"/>
  <c r="DN59" i="7"/>
  <c r="DM59" i="7"/>
  <c r="DL59" i="7"/>
  <c r="DK59" i="7"/>
  <c r="DJ59" i="7"/>
  <c r="DI59" i="7"/>
  <c r="DH59" i="7"/>
  <c r="DG59" i="7"/>
  <c r="DF59" i="7"/>
  <c r="DE59" i="7"/>
  <c r="DD59" i="7"/>
  <c r="DC59" i="7"/>
  <c r="DB59" i="7"/>
  <c r="DA59" i="7"/>
  <c r="CZ59" i="7"/>
  <c r="CY59" i="7"/>
  <c r="CX59" i="7"/>
  <c r="CW59" i="7"/>
  <c r="CV59" i="7"/>
  <c r="CU59" i="7"/>
  <c r="CT59" i="7"/>
  <c r="CS59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59" i="7"/>
  <c r="IV58" i="7"/>
  <c r="IU58" i="7"/>
  <c r="IT58" i="7"/>
  <c r="IS58" i="7"/>
  <c r="IR58" i="7"/>
  <c r="IQ58" i="7"/>
  <c r="IP58" i="7"/>
  <c r="IO58" i="7"/>
  <c r="IN58" i="7"/>
  <c r="IM58" i="7"/>
  <c r="IL58" i="7"/>
  <c r="IK58" i="7"/>
  <c r="IJ58" i="7"/>
  <c r="II58" i="7"/>
  <c r="IH58" i="7"/>
  <c r="IG58" i="7"/>
  <c r="IF58" i="7"/>
  <c r="IE58" i="7"/>
  <c r="ID58" i="7"/>
  <c r="IC58" i="7"/>
  <c r="IB58" i="7"/>
  <c r="IA58" i="7"/>
  <c r="HZ58" i="7"/>
  <c r="HY58" i="7"/>
  <c r="HX58" i="7"/>
  <c r="HW58" i="7"/>
  <c r="HV58" i="7"/>
  <c r="HU58" i="7"/>
  <c r="HT58" i="7"/>
  <c r="HS58" i="7"/>
  <c r="HR58" i="7"/>
  <c r="HQ58" i="7"/>
  <c r="HP58" i="7"/>
  <c r="HO58" i="7"/>
  <c r="HN58" i="7"/>
  <c r="HM58" i="7"/>
  <c r="HL58" i="7"/>
  <c r="HK58" i="7"/>
  <c r="HJ58" i="7"/>
  <c r="HI58" i="7"/>
  <c r="HH58" i="7"/>
  <c r="HG58" i="7"/>
  <c r="HF58" i="7"/>
  <c r="HE58" i="7"/>
  <c r="HD58" i="7"/>
  <c r="HC58" i="7"/>
  <c r="HB58" i="7"/>
  <c r="HA58" i="7"/>
  <c r="GZ58" i="7"/>
  <c r="GY58" i="7"/>
  <c r="GX58" i="7"/>
  <c r="GW58" i="7"/>
  <c r="GV58" i="7"/>
  <c r="GU58" i="7"/>
  <c r="GT58" i="7"/>
  <c r="GS58" i="7"/>
  <c r="GR58" i="7"/>
  <c r="GQ58" i="7"/>
  <c r="GP58" i="7"/>
  <c r="GO58" i="7"/>
  <c r="GN58" i="7"/>
  <c r="GM58" i="7"/>
  <c r="GL58" i="7"/>
  <c r="GK58" i="7"/>
  <c r="GJ58" i="7"/>
  <c r="GI58" i="7"/>
  <c r="GH58" i="7"/>
  <c r="GG58" i="7"/>
  <c r="GF58" i="7"/>
  <c r="GE58" i="7"/>
  <c r="GD58" i="7"/>
  <c r="GC58" i="7"/>
  <c r="GB58" i="7"/>
  <c r="GA58" i="7"/>
  <c r="FZ58" i="7"/>
  <c r="FY58" i="7"/>
  <c r="FX58" i="7"/>
  <c r="FW58" i="7"/>
  <c r="FV58" i="7"/>
  <c r="FU58" i="7"/>
  <c r="FT58" i="7"/>
  <c r="FS58" i="7"/>
  <c r="FR58" i="7"/>
  <c r="FQ58" i="7"/>
  <c r="FP58" i="7"/>
  <c r="FO58" i="7"/>
  <c r="FN58" i="7"/>
  <c r="FM58" i="7"/>
  <c r="FL58" i="7"/>
  <c r="FK58" i="7"/>
  <c r="FJ58" i="7"/>
  <c r="FI58" i="7"/>
  <c r="FH58" i="7"/>
  <c r="FG58" i="7"/>
  <c r="FF58" i="7"/>
  <c r="FE58" i="7"/>
  <c r="FD58" i="7"/>
  <c r="FC58" i="7"/>
  <c r="FB58" i="7"/>
  <c r="FA58" i="7"/>
  <c r="EZ58" i="7"/>
  <c r="EY58" i="7"/>
  <c r="EX58" i="7"/>
  <c r="EW58" i="7"/>
  <c r="EV58" i="7"/>
  <c r="EU58" i="7"/>
  <c r="ET58" i="7"/>
  <c r="ES58" i="7"/>
  <c r="ER58" i="7"/>
  <c r="EQ58" i="7"/>
  <c r="EP58" i="7"/>
  <c r="EO58" i="7"/>
  <c r="EN58" i="7"/>
  <c r="EM58" i="7"/>
  <c r="EL58" i="7"/>
  <c r="EK58" i="7"/>
  <c r="EJ58" i="7"/>
  <c r="EI58" i="7"/>
  <c r="EH58" i="7"/>
  <c r="EG58" i="7"/>
  <c r="EF58" i="7"/>
  <c r="EE58" i="7"/>
  <c r="ED58" i="7"/>
  <c r="EC58" i="7"/>
  <c r="EB58" i="7"/>
  <c r="EA58" i="7"/>
  <c r="DZ58" i="7"/>
  <c r="DY58" i="7"/>
  <c r="DX58" i="7"/>
  <c r="DW58" i="7"/>
  <c r="DV58" i="7"/>
  <c r="DU58" i="7"/>
  <c r="DT58" i="7"/>
  <c r="DS58" i="7"/>
  <c r="DR58" i="7"/>
  <c r="DQ58" i="7"/>
  <c r="DP58" i="7"/>
  <c r="DO58" i="7"/>
  <c r="DN58" i="7"/>
  <c r="DM58" i="7"/>
  <c r="DL58" i="7"/>
  <c r="DK58" i="7"/>
  <c r="DJ58" i="7"/>
  <c r="DI58" i="7"/>
  <c r="DH58" i="7"/>
  <c r="DG58" i="7"/>
  <c r="DF58" i="7"/>
  <c r="DE58" i="7"/>
  <c r="DD58" i="7"/>
  <c r="DC58" i="7"/>
  <c r="DB58" i="7"/>
  <c r="DA58" i="7"/>
  <c r="CZ58" i="7"/>
  <c r="CY58" i="7"/>
  <c r="CX58" i="7"/>
  <c r="CW58" i="7"/>
  <c r="CV58" i="7"/>
  <c r="CU58" i="7"/>
  <c r="CT58" i="7"/>
  <c r="CS58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58" i="7"/>
  <c r="IV57" i="7"/>
  <c r="IU57" i="7"/>
  <c r="IT57" i="7"/>
  <c r="IS57" i="7"/>
  <c r="IR57" i="7"/>
  <c r="IQ57" i="7"/>
  <c r="IP57" i="7"/>
  <c r="IO57" i="7"/>
  <c r="IN57" i="7"/>
  <c r="IM57" i="7"/>
  <c r="IL57" i="7"/>
  <c r="IK57" i="7"/>
  <c r="IJ57" i="7"/>
  <c r="II57" i="7"/>
  <c r="IH57" i="7"/>
  <c r="IG57" i="7"/>
  <c r="IF57" i="7"/>
  <c r="IE57" i="7"/>
  <c r="ID57" i="7"/>
  <c r="IC57" i="7"/>
  <c r="IB57" i="7"/>
  <c r="IA57" i="7"/>
  <c r="HZ57" i="7"/>
  <c r="HY57" i="7"/>
  <c r="HX57" i="7"/>
  <c r="HW57" i="7"/>
  <c r="HV57" i="7"/>
  <c r="HU57" i="7"/>
  <c r="HT57" i="7"/>
  <c r="HS57" i="7"/>
  <c r="HR57" i="7"/>
  <c r="HQ57" i="7"/>
  <c r="HP57" i="7"/>
  <c r="HO57" i="7"/>
  <c r="HN57" i="7"/>
  <c r="HM57" i="7"/>
  <c r="HL57" i="7"/>
  <c r="HK57" i="7"/>
  <c r="HJ57" i="7"/>
  <c r="HI57" i="7"/>
  <c r="HH57" i="7"/>
  <c r="HG57" i="7"/>
  <c r="HF57" i="7"/>
  <c r="HE57" i="7"/>
  <c r="HD57" i="7"/>
  <c r="HC57" i="7"/>
  <c r="HB57" i="7"/>
  <c r="HA57" i="7"/>
  <c r="GZ57" i="7"/>
  <c r="GY57" i="7"/>
  <c r="GX57" i="7"/>
  <c r="GW57" i="7"/>
  <c r="GV57" i="7"/>
  <c r="GU57" i="7"/>
  <c r="GT57" i="7"/>
  <c r="GS57" i="7"/>
  <c r="GR57" i="7"/>
  <c r="GQ57" i="7"/>
  <c r="GP57" i="7"/>
  <c r="GO57" i="7"/>
  <c r="GN57" i="7"/>
  <c r="GM57" i="7"/>
  <c r="GL57" i="7"/>
  <c r="GK57" i="7"/>
  <c r="GJ57" i="7"/>
  <c r="GI57" i="7"/>
  <c r="GH57" i="7"/>
  <c r="GG57" i="7"/>
  <c r="GF57" i="7"/>
  <c r="GE57" i="7"/>
  <c r="GD57" i="7"/>
  <c r="GC57" i="7"/>
  <c r="GB57" i="7"/>
  <c r="GA57" i="7"/>
  <c r="FZ57" i="7"/>
  <c r="FY57" i="7"/>
  <c r="FX57" i="7"/>
  <c r="FW57" i="7"/>
  <c r="FV57" i="7"/>
  <c r="FU57" i="7"/>
  <c r="FT57" i="7"/>
  <c r="FS57" i="7"/>
  <c r="FR57" i="7"/>
  <c r="FQ57" i="7"/>
  <c r="FP57" i="7"/>
  <c r="FO57" i="7"/>
  <c r="FN57" i="7"/>
  <c r="FM57" i="7"/>
  <c r="FL57" i="7"/>
  <c r="FK57" i="7"/>
  <c r="FJ57" i="7"/>
  <c r="FI57" i="7"/>
  <c r="FH57" i="7"/>
  <c r="FG57" i="7"/>
  <c r="FF57" i="7"/>
  <c r="FE57" i="7"/>
  <c r="FD57" i="7"/>
  <c r="FC57" i="7"/>
  <c r="FB57" i="7"/>
  <c r="FA57" i="7"/>
  <c r="EZ57" i="7"/>
  <c r="EY57" i="7"/>
  <c r="EX57" i="7"/>
  <c r="EW57" i="7"/>
  <c r="EV57" i="7"/>
  <c r="EU57" i="7"/>
  <c r="ET57" i="7"/>
  <c r="ES57" i="7"/>
  <c r="ER57" i="7"/>
  <c r="EQ57" i="7"/>
  <c r="EP57" i="7"/>
  <c r="EO57" i="7"/>
  <c r="EN57" i="7"/>
  <c r="EM57" i="7"/>
  <c r="EL57" i="7"/>
  <c r="EK57" i="7"/>
  <c r="EJ57" i="7"/>
  <c r="EI57" i="7"/>
  <c r="EH57" i="7"/>
  <c r="EG57" i="7"/>
  <c r="EF57" i="7"/>
  <c r="EE57" i="7"/>
  <c r="ED57" i="7"/>
  <c r="EC57" i="7"/>
  <c r="EB57" i="7"/>
  <c r="EA57" i="7"/>
  <c r="DZ57" i="7"/>
  <c r="DY57" i="7"/>
  <c r="DX57" i="7"/>
  <c r="DW57" i="7"/>
  <c r="DV57" i="7"/>
  <c r="DU57" i="7"/>
  <c r="DT57" i="7"/>
  <c r="DS57" i="7"/>
  <c r="DR57" i="7"/>
  <c r="DQ57" i="7"/>
  <c r="DP57" i="7"/>
  <c r="DO57" i="7"/>
  <c r="DN57" i="7"/>
  <c r="DM57" i="7"/>
  <c r="DL57" i="7"/>
  <c r="DK57" i="7"/>
  <c r="DJ57" i="7"/>
  <c r="DI57" i="7"/>
  <c r="DH57" i="7"/>
  <c r="DG57" i="7"/>
  <c r="DF57" i="7"/>
  <c r="DE57" i="7"/>
  <c r="DD57" i="7"/>
  <c r="DC57" i="7"/>
  <c r="DB57" i="7"/>
  <c r="DA57" i="7"/>
  <c r="CZ57" i="7"/>
  <c r="CY57" i="7"/>
  <c r="CX57" i="7"/>
  <c r="CW57" i="7"/>
  <c r="CV57" i="7"/>
  <c r="CU57" i="7"/>
  <c r="CT57" i="7"/>
  <c r="CS57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A57" i="7"/>
  <c r="IV56" i="7"/>
  <c r="IU56" i="7"/>
  <c r="IT56" i="7"/>
  <c r="IS56" i="7"/>
  <c r="IR56" i="7"/>
  <c r="IQ56" i="7"/>
  <c r="IP56" i="7"/>
  <c r="IO56" i="7"/>
  <c r="IN56" i="7"/>
  <c r="IM56" i="7"/>
  <c r="IL56" i="7"/>
  <c r="IK56" i="7"/>
  <c r="IJ56" i="7"/>
  <c r="II56" i="7"/>
  <c r="IH56" i="7"/>
  <c r="IG56" i="7"/>
  <c r="IF56" i="7"/>
  <c r="IE56" i="7"/>
  <c r="ID56" i="7"/>
  <c r="IC56" i="7"/>
  <c r="IB56" i="7"/>
  <c r="IA56" i="7"/>
  <c r="HZ56" i="7"/>
  <c r="HY56" i="7"/>
  <c r="HX56" i="7"/>
  <c r="HW56" i="7"/>
  <c r="HV56" i="7"/>
  <c r="HU56" i="7"/>
  <c r="HT56" i="7"/>
  <c r="HS56" i="7"/>
  <c r="HR56" i="7"/>
  <c r="HQ56" i="7"/>
  <c r="HP56" i="7"/>
  <c r="HO56" i="7"/>
  <c r="HN56" i="7"/>
  <c r="HM56" i="7"/>
  <c r="HL56" i="7"/>
  <c r="HK56" i="7"/>
  <c r="HJ56" i="7"/>
  <c r="HI56" i="7"/>
  <c r="HH56" i="7"/>
  <c r="HG56" i="7"/>
  <c r="HF56" i="7"/>
  <c r="HE56" i="7"/>
  <c r="HD56" i="7"/>
  <c r="HC56" i="7"/>
  <c r="HB56" i="7"/>
  <c r="HA56" i="7"/>
  <c r="GZ56" i="7"/>
  <c r="GY56" i="7"/>
  <c r="GX56" i="7"/>
  <c r="GW56" i="7"/>
  <c r="GV56" i="7"/>
  <c r="GU56" i="7"/>
  <c r="GT56" i="7"/>
  <c r="GS56" i="7"/>
  <c r="GR56" i="7"/>
  <c r="GQ56" i="7"/>
  <c r="GP56" i="7"/>
  <c r="GO56" i="7"/>
  <c r="GN56" i="7"/>
  <c r="GM56" i="7"/>
  <c r="GL56" i="7"/>
  <c r="GK56" i="7"/>
  <c r="GJ56" i="7"/>
  <c r="GI56" i="7"/>
  <c r="GH56" i="7"/>
  <c r="GG56" i="7"/>
  <c r="GF56" i="7"/>
  <c r="GE56" i="7"/>
  <c r="GD56" i="7"/>
  <c r="GC56" i="7"/>
  <c r="GB56" i="7"/>
  <c r="GA56" i="7"/>
  <c r="FZ56" i="7"/>
  <c r="FY56" i="7"/>
  <c r="FX56" i="7"/>
  <c r="FW56" i="7"/>
  <c r="FV56" i="7"/>
  <c r="FU56" i="7"/>
  <c r="FT56" i="7"/>
  <c r="FS56" i="7"/>
  <c r="FR56" i="7"/>
  <c r="FQ56" i="7"/>
  <c r="FP56" i="7"/>
  <c r="FO56" i="7"/>
  <c r="FN56" i="7"/>
  <c r="FM56" i="7"/>
  <c r="FL56" i="7"/>
  <c r="FK56" i="7"/>
  <c r="FJ56" i="7"/>
  <c r="FI56" i="7"/>
  <c r="FH56" i="7"/>
  <c r="FG56" i="7"/>
  <c r="FF56" i="7"/>
  <c r="FE56" i="7"/>
  <c r="FD56" i="7"/>
  <c r="FC56" i="7"/>
  <c r="FB56" i="7"/>
  <c r="FA56" i="7"/>
  <c r="EZ56" i="7"/>
  <c r="EY56" i="7"/>
  <c r="EX56" i="7"/>
  <c r="EW56" i="7"/>
  <c r="EV56" i="7"/>
  <c r="EU56" i="7"/>
  <c r="ET56" i="7"/>
  <c r="ES56" i="7"/>
  <c r="ER56" i="7"/>
  <c r="EQ56" i="7"/>
  <c r="EP56" i="7"/>
  <c r="EO56" i="7"/>
  <c r="EN56" i="7"/>
  <c r="EM56" i="7"/>
  <c r="EL56" i="7"/>
  <c r="EK56" i="7"/>
  <c r="EJ56" i="7"/>
  <c r="EI56" i="7"/>
  <c r="EH56" i="7"/>
  <c r="EG56" i="7"/>
  <c r="EF56" i="7"/>
  <c r="EE56" i="7"/>
  <c r="ED56" i="7"/>
  <c r="EC56" i="7"/>
  <c r="EB56" i="7"/>
  <c r="EA56" i="7"/>
  <c r="DZ56" i="7"/>
  <c r="DY56" i="7"/>
  <c r="DX56" i="7"/>
  <c r="DW56" i="7"/>
  <c r="DV56" i="7"/>
  <c r="DU56" i="7"/>
  <c r="DT56" i="7"/>
  <c r="DS56" i="7"/>
  <c r="DR56" i="7"/>
  <c r="DQ56" i="7"/>
  <c r="DP56" i="7"/>
  <c r="DO56" i="7"/>
  <c r="DN56" i="7"/>
  <c r="DM56" i="7"/>
  <c r="DL56" i="7"/>
  <c r="DK56" i="7"/>
  <c r="DJ56" i="7"/>
  <c r="DI56" i="7"/>
  <c r="DH56" i="7"/>
  <c r="DG56" i="7"/>
  <c r="DF56" i="7"/>
  <c r="DE56" i="7"/>
  <c r="DD56" i="7"/>
  <c r="DC56" i="7"/>
  <c r="DB56" i="7"/>
  <c r="DA56" i="7"/>
  <c r="CZ56" i="7"/>
  <c r="CY56" i="7"/>
  <c r="CX56" i="7"/>
  <c r="CW56" i="7"/>
  <c r="CV56" i="7"/>
  <c r="CU56" i="7"/>
  <c r="CT56" i="7"/>
  <c r="CS56" i="7"/>
  <c r="CR56" i="7"/>
  <c r="CQ56" i="7"/>
  <c r="CP56" i="7"/>
  <c r="CO56" i="7"/>
  <c r="CN56" i="7"/>
  <c r="CM56" i="7"/>
  <c r="CL56" i="7"/>
  <c r="CK56" i="7"/>
  <c r="CJ56" i="7"/>
  <c r="CI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56" i="7"/>
  <c r="IV55" i="7"/>
  <c r="IU55" i="7"/>
  <c r="IT55" i="7"/>
  <c r="IS55" i="7"/>
  <c r="IR55" i="7"/>
  <c r="IQ55" i="7"/>
  <c r="IP55" i="7"/>
  <c r="IO55" i="7"/>
  <c r="IN55" i="7"/>
  <c r="IM55" i="7"/>
  <c r="IL55" i="7"/>
  <c r="IK55" i="7"/>
  <c r="IJ55" i="7"/>
  <c r="II55" i="7"/>
  <c r="IH55" i="7"/>
  <c r="IG55" i="7"/>
  <c r="IF55" i="7"/>
  <c r="IE55" i="7"/>
  <c r="ID55" i="7"/>
  <c r="IC55" i="7"/>
  <c r="IB55" i="7"/>
  <c r="IA55" i="7"/>
  <c r="HZ55" i="7"/>
  <c r="HY55" i="7"/>
  <c r="HX55" i="7"/>
  <c r="HW55" i="7"/>
  <c r="HV55" i="7"/>
  <c r="HU55" i="7"/>
  <c r="HT55" i="7"/>
  <c r="HS55" i="7"/>
  <c r="HR55" i="7"/>
  <c r="HQ55" i="7"/>
  <c r="HP55" i="7"/>
  <c r="HO55" i="7"/>
  <c r="HN55" i="7"/>
  <c r="HM55" i="7"/>
  <c r="HL55" i="7"/>
  <c r="HK55" i="7"/>
  <c r="HJ55" i="7"/>
  <c r="HI55" i="7"/>
  <c r="HH55" i="7"/>
  <c r="HG55" i="7"/>
  <c r="HF55" i="7"/>
  <c r="HE55" i="7"/>
  <c r="HD55" i="7"/>
  <c r="HC55" i="7"/>
  <c r="HB55" i="7"/>
  <c r="HA55" i="7"/>
  <c r="GZ55" i="7"/>
  <c r="GY55" i="7"/>
  <c r="GX55" i="7"/>
  <c r="GW55" i="7"/>
  <c r="GV55" i="7"/>
  <c r="GU55" i="7"/>
  <c r="GT55" i="7"/>
  <c r="GS55" i="7"/>
  <c r="GR55" i="7"/>
  <c r="GQ55" i="7"/>
  <c r="GP55" i="7"/>
  <c r="GO55" i="7"/>
  <c r="GN55" i="7"/>
  <c r="GM55" i="7"/>
  <c r="GL55" i="7"/>
  <c r="GK55" i="7"/>
  <c r="GJ55" i="7"/>
  <c r="GI55" i="7"/>
  <c r="GH55" i="7"/>
  <c r="GG55" i="7"/>
  <c r="GF55" i="7"/>
  <c r="GE55" i="7"/>
  <c r="GD55" i="7"/>
  <c r="GC55" i="7"/>
  <c r="GB55" i="7"/>
  <c r="GA55" i="7"/>
  <c r="FZ55" i="7"/>
  <c r="FY55" i="7"/>
  <c r="FX55" i="7"/>
  <c r="FW55" i="7"/>
  <c r="FV55" i="7"/>
  <c r="FU55" i="7"/>
  <c r="FT55" i="7"/>
  <c r="FS55" i="7"/>
  <c r="FR55" i="7"/>
  <c r="FQ55" i="7"/>
  <c r="FP55" i="7"/>
  <c r="FO55" i="7"/>
  <c r="FN55" i="7"/>
  <c r="FM55" i="7"/>
  <c r="FL55" i="7"/>
  <c r="FK55" i="7"/>
  <c r="FJ55" i="7"/>
  <c r="FI55" i="7"/>
  <c r="FH55" i="7"/>
  <c r="FG55" i="7"/>
  <c r="FF55" i="7"/>
  <c r="FE55" i="7"/>
  <c r="FD55" i="7"/>
  <c r="FC55" i="7"/>
  <c r="FB55" i="7"/>
  <c r="FA55" i="7"/>
  <c r="EZ55" i="7"/>
  <c r="EY55" i="7"/>
  <c r="EX55" i="7"/>
  <c r="EW55" i="7"/>
  <c r="EV55" i="7"/>
  <c r="EU55" i="7"/>
  <c r="ET55" i="7"/>
  <c r="ES55" i="7"/>
  <c r="ER55" i="7"/>
  <c r="EQ55" i="7"/>
  <c r="EP55" i="7"/>
  <c r="EO55" i="7"/>
  <c r="EN55" i="7"/>
  <c r="EM55" i="7"/>
  <c r="EL55" i="7"/>
  <c r="EK55" i="7"/>
  <c r="EJ55" i="7"/>
  <c r="EI55" i="7"/>
  <c r="EH55" i="7"/>
  <c r="EG55" i="7"/>
  <c r="EF55" i="7"/>
  <c r="EE55" i="7"/>
  <c r="ED55" i="7"/>
  <c r="EC55" i="7"/>
  <c r="EB55" i="7"/>
  <c r="EA55" i="7"/>
  <c r="DZ55" i="7"/>
  <c r="DY55" i="7"/>
  <c r="DX55" i="7"/>
  <c r="DW55" i="7"/>
  <c r="DV55" i="7"/>
  <c r="DU55" i="7"/>
  <c r="DT55" i="7"/>
  <c r="DS55" i="7"/>
  <c r="DR55" i="7"/>
  <c r="DQ55" i="7"/>
  <c r="DP55" i="7"/>
  <c r="DO55" i="7"/>
  <c r="DN55" i="7"/>
  <c r="DM55" i="7"/>
  <c r="DL55" i="7"/>
  <c r="DK55" i="7"/>
  <c r="DJ55" i="7"/>
  <c r="DI55" i="7"/>
  <c r="DH55" i="7"/>
  <c r="DG55" i="7"/>
  <c r="DF55" i="7"/>
  <c r="DE55" i="7"/>
  <c r="DD55" i="7"/>
  <c r="DC55" i="7"/>
  <c r="DB55" i="7"/>
  <c r="DA55" i="7"/>
  <c r="CZ55" i="7"/>
  <c r="CY55" i="7"/>
  <c r="CX55" i="7"/>
  <c r="CW55" i="7"/>
  <c r="CV55" i="7"/>
  <c r="CU55" i="7"/>
  <c r="CT55" i="7"/>
  <c r="CS55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55" i="7"/>
  <c r="IV54" i="7"/>
  <c r="IU54" i="7"/>
  <c r="IT54" i="7"/>
  <c r="IS54" i="7"/>
  <c r="IR54" i="7"/>
  <c r="IQ54" i="7"/>
  <c r="IP54" i="7"/>
  <c r="IO54" i="7"/>
  <c r="IN54" i="7"/>
  <c r="IM54" i="7"/>
  <c r="IL54" i="7"/>
  <c r="IK54" i="7"/>
  <c r="IJ54" i="7"/>
  <c r="II54" i="7"/>
  <c r="IH54" i="7"/>
  <c r="IG54" i="7"/>
  <c r="IF54" i="7"/>
  <c r="IE54" i="7"/>
  <c r="ID54" i="7"/>
  <c r="IC54" i="7"/>
  <c r="IB54" i="7"/>
  <c r="IA54" i="7"/>
  <c r="HZ54" i="7"/>
  <c r="HY54" i="7"/>
  <c r="HX54" i="7"/>
  <c r="HW54" i="7"/>
  <c r="HV54" i="7"/>
  <c r="HU54" i="7"/>
  <c r="HT54" i="7"/>
  <c r="HS54" i="7"/>
  <c r="HR54" i="7"/>
  <c r="HQ54" i="7"/>
  <c r="HP54" i="7"/>
  <c r="HO54" i="7"/>
  <c r="HN54" i="7"/>
  <c r="HM54" i="7"/>
  <c r="HL54" i="7"/>
  <c r="HK54" i="7"/>
  <c r="HJ54" i="7"/>
  <c r="HI54" i="7"/>
  <c r="HH54" i="7"/>
  <c r="HG54" i="7"/>
  <c r="HF54" i="7"/>
  <c r="HE54" i="7"/>
  <c r="HD54" i="7"/>
  <c r="HC54" i="7"/>
  <c r="HB54" i="7"/>
  <c r="HA54" i="7"/>
  <c r="GZ54" i="7"/>
  <c r="GY54" i="7"/>
  <c r="GX54" i="7"/>
  <c r="GW54" i="7"/>
  <c r="GV54" i="7"/>
  <c r="GU54" i="7"/>
  <c r="GT54" i="7"/>
  <c r="GS54" i="7"/>
  <c r="GR54" i="7"/>
  <c r="GQ54" i="7"/>
  <c r="GP54" i="7"/>
  <c r="GO54" i="7"/>
  <c r="GN54" i="7"/>
  <c r="GM54" i="7"/>
  <c r="GL54" i="7"/>
  <c r="GK54" i="7"/>
  <c r="GJ54" i="7"/>
  <c r="GI54" i="7"/>
  <c r="GH54" i="7"/>
  <c r="GG54" i="7"/>
  <c r="GF54" i="7"/>
  <c r="GE54" i="7"/>
  <c r="GD54" i="7"/>
  <c r="GC54" i="7"/>
  <c r="GB54" i="7"/>
  <c r="GA54" i="7"/>
  <c r="FZ54" i="7"/>
  <c r="FY54" i="7"/>
  <c r="FX54" i="7"/>
  <c r="FW54" i="7"/>
  <c r="FV54" i="7"/>
  <c r="FU54" i="7"/>
  <c r="FT54" i="7"/>
  <c r="FS54" i="7"/>
  <c r="FR54" i="7"/>
  <c r="FQ54" i="7"/>
  <c r="FP54" i="7"/>
  <c r="FO54" i="7"/>
  <c r="FN54" i="7"/>
  <c r="FM54" i="7"/>
  <c r="FL54" i="7"/>
  <c r="FK54" i="7"/>
  <c r="FJ54" i="7"/>
  <c r="FI54" i="7"/>
  <c r="FH54" i="7"/>
  <c r="FG54" i="7"/>
  <c r="FF54" i="7"/>
  <c r="FE54" i="7"/>
  <c r="FD54" i="7"/>
  <c r="FC54" i="7"/>
  <c r="FB54" i="7"/>
  <c r="FA54" i="7"/>
  <c r="EZ54" i="7"/>
  <c r="EY54" i="7"/>
  <c r="EX54" i="7"/>
  <c r="EW54" i="7"/>
  <c r="EV54" i="7"/>
  <c r="EU54" i="7"/>
  <c r="ET54" i="7"/>
  <c r="ES54" i="7"/>
  <c r="ER54" i="7"/>
  <c r="EQ54" i="7"/>
  <c r="EP54" i="7"/>
  <c r="EO54" i="7"/>
  <c r="EN54" i="7"/>
  <c r="EM54" i="7"/>
  <c r="EL54" i="7"/>
  <c r="EK54" i="7"/>
  <c r="EJ54" i="7"/>
  <c r="EI54" i="7"/>
  <c r="EH54" i="7"/>
  <c r="EG54" i="7"/>
  <c r="EF54" i="7"/>
  <c r="EE54" i="7"/>
  <c r="ED54" i="7"/>
  <c r="EC54" i="7"/>
  <c r="EB54" i="7"/>
  <c r="EA54" i="7"/>
  <c r="DZ54" i="7"/>
  <c r="DY54" i="7"/>
  <c r="DX54" i="7"/>
  <c r="DW54" i="7"/>
  <c r="DV54" i="7"/>
  <c r="DU54" i="7"/>
  <c r="DT54" i="7"/>
  <c r="DS54" i="7"/>
  <c r="DR54" i="7"/>
  <c r="DQ54" i="7"/>
  <c r="DP54" i="7"/>
  <c r="DO54" i="7"/>
  <c r="DN54" i="7"/>
  <c r="DM54" i="7"/>
  <c r="DL54" i="7"/>
  <c r="DK54" i="7"/>
  <c r="DJ54" i="7"/>
  <c r="DI54" i="7"/>
  <c r="DH54" i="7"/>
  <c r="DG54" i="7"/>
  <c r="DF54" i="7"/>
  <c r="DE54" i="7"/>
  <c r="DD54" i="7"/>
  <c r="DC54" i="7"/>
  <c r="DB54" i="7"/>
  <c r="DA54" i="7"/>
  <c r="CZ54" i="7"/>
  <c r="CY54" i="7"/>
  <c r="CX54" i="7"/>
  <c r="CW54" i="7"/>
  <c r="CV54" i="7"/>
  <c r="CU54" i="7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A54" i="7"/>
  <c r="IV53" i="7"/>
  <c r="IU53" i="7"/>
  <c r="IT53" i="7"/>
  <c r="IS53" i="7"/>
  <c r="IR53" i="7"/>
  <c r="IQ53" i="7"/>
  <c r="IP53" i="7"/>
  <c r="IO53" i="7"/>
  <c r="IN53" i="7"/>
  <c r="IM53" i="7"/>
  <c r="IL53" i="7"/>
  <c r="IK53" i="7"/>
  <c r="IJ53" i="7"/>
  <c r="II53" i="7"/>
  <c r="IH53" i="7"/>
  <c r="IG53" i="7"/>
  <c r="IF53" i="7"/>
  <c r="IE53" i="7"/>
  <c r="ID53" i="7"/>
  <c r="IC53" i="7"/>
  <c r="IB53" i="7"/>
  <c r="IA53" i="7"/>
  <c r="HZ53" i="7"/>
  <c r="HY53" i="7"/>
  <c r="HX53" i="7"/>
  <c r="HW53" i="7"/>
  <c r="HV53" i="7"/>
  <c r="HU53" i="7"/>
  <c r="HT53" i="7"/>
  <c r="HS53" i="7"/>
  <c r="HR53" i="7"/>
  <c r="HQ53" i="7"/>
  <c r="HP53" i="7"/>
  <c r="HO53" i="7"/>
  <c r="HN53" i="7"/>
  <c r="HM53" i="7"/>
  <c r="HL53" i="7"/>
  <c r="HK53" i="7"/>
  <c r="HJ53" i="7"/>
  <c r="HI53" i="7"/>
  <c r="HH53" i="7"/>
  <c r="HG53" i="7"/>
  <c r="HF53" i="7"/>
  <c r="HE53" i="7"/>
  <c r="HD53" i="7"/>
  <c r="HC53" i="7"/>
  <c r="HB53" i="7"/>
  <c r="HA53" i="7"/>
  <c r="GZ53" i="7"/>
  <c r="GY53" i="7"/>
  <c r="GX53" i="7"/>
  <c r="GW53" i="7"/>
  <c r="GV53" i="7"/>
  <c r="GU53" i="7"/>
  <c r="GT53" i="7"/>
  <c r="GS53" i="7"/>
  <c r="GR53" i="7"/>
  <c r="GQ53" i="7"/>
  <c r="GP53" i="7"/>
  <c r="GO53" i="7"/>
  <c r="GN53" i="7"/>
  <c r="GM53" i="7"/>
  <c r="GL53" i="7"/>
  <c r="GK53" i="7"/>
  <c r="GJ53" i="7"/>
  <c r="GI53" i="7"/>
  <c r="GH53" i="7"/>
  <c r="GG53" i="7"/>
  <c r="GF53" i="7"/>
  <c r="GE53" i="7"/>
  <c r="GD53" i="7"/>
  <c r="GC53" i="7"/>
  <c r="GB53" i="7"/>
  <c r="GA53" i="7"/>
  <c r="FZ53" i="7"/>
  <c r="FY53" i="7"/>
  <c r="FX53" i="7"/>
  <c r="FW53" i="7"/>
  <c r="FV53" i="7"/>
  <c r="FU53" i="7"/>
  <c r="FT53" i="7"/>
  <c r="FS53" i="7"/>
  <c r="FR53" i="7"/>
  <c r="FQ53" i="7"/>
  <c r="FP53" i="7"/>
  <c r="FO53" i="7"/>
  <c r="FN53" i="7"/>
  <c r="FM53" i="7"/>
  <c r="FL53" i="7"/>
  <c r="FK53" i="7"/>
  <c r="FJ53" i="7"/>
  <c r="FI53" i="7"/>
  <c r="FH53" i="7"/>
  <c r="FG53" i="7"/>
  <c r="FF53" i="7"/>
  <c r="FE53" i="7"/>
  <c r="FD53" i="7"/>
  <c r="FC53" i="7"/>
  <c r="FB53" i="7"/>
  <c r="FA53" i="7"/>
  <c r="EZ53" i="7"/>
  <c r="EY53" i="7"/>
  <c r="EX53" i="7"/>
  <c r="EW53" i="7"/>
  <c r="EV53" i="7"/>
  <c r="EU53" i="7"/>
  <c r="ET53" i="7"/>
  <c r="ES53" i="7"/>
  <c r="ER53" i="7"/>
  <c r="EQ53" i="7"/>
  <c r="EP53" i="7"/>
  <c r="EO53" i="7"/>
  <c r="EN53" i="7"/>
  <c r="EM53" i="7"/>
  <c r="EL53" i="7"/>
  <c r="EK53" i="7"/>
  <c r="EJ53" i="7"/>
  <c r="EI53" i="7"/>
  <c r="EH53" i="7"/>
  <c r="EG53" i="7"/>
  <c r="EF53" i="7"/>
  <c r="EE53" i="7"/>
  <c r="ED53" i="7"/>
  <c r="EC53" i="7"/>
  <c r="EB53" i="7"/>
  <c r="EA53" i="7"/>
  <c r="DZ53" i="7"/>
  <c r="DY53" i="7"/>
  <c r="DX53" i="7"/>
  <c r="DW53" i="7"/>
  <c r="DV53" i="7"/>
  <c r="DU53" i="7"/>
  <c r="DT53" i="7"/>
  <c r="DS53" i="7"/>
  <c r="DR53" i="7"/>
  <c r="DQ53" i="7"/>
  <c r="DP53" i="7"/>
  <c r="DO53" i="7"/>
  <c r="DN53" i="7"/>
  <c r="DM53" i="7"/>
  <c r="DL53" i="7"/>
  <c r="DK53" i="7"/>
  <c r="DJ53" i="7"/>
  <c r="DI53" i="7"/>
  <c r="DH53" i="7"/>
  <c r="DG53" i="7"/>
  <c r="DF53" i="7"/>
  <c r="DE53" i="7"/>
  <c r="DD53" i="7"/>
  <c r="DC53" i="7"/>
  <c r="DB53" i="7"/>
  <c r="DA53" i="7"/>
  <c r="CZ53" i="7"/>
  <c r="CY53" i="7"/>
  <c r="CX53" i="7"/>
  <c r="CW53" i="7"/>
  <c r="CV53" i="7"/>
  <c r="CU53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A53" i="7"/>
  <c r="IV52" i="7"/>
  <c r="IU52" i="7"/>
  <c r="IT52" i="7"/>
  <c r="IS52" i="7"/>
  <c r="IR52" i="7"/>
  <c r="IQ52" i="7"/>
  <c r="IP52" i="7"/>
  <c r="IO52" i="7"/>
  <c r="IN52" i="7"/>
  <c r="IM52" i="7"/>
  <c r="IL52" i="7"/>
  <c r="IK52" i="7"/>
  <c r="IJ52" i="7"/>
  <c r="II52" i="7"/>
  <c r="IH52" i="7"/>
  <c r="IG52" i="7"/>
  <c r="IF52" i="7"/>
  <c r="IE52" i="7"/>
  <c r="ID52" i="7"/>
  <c r="IC52" i="7"/>
  <c r="IB52" i="7"/>
  <c r="IA52" i="7"/>
  <c r="HZ52" i="7"/>
  <c r="HY52" i="7"/>
  <c r="HX52" i="7"/>
  <c r="HW52" i="7"/>
  <c r="HV52" i="7"/>
  <c r="HU52" i="7"/>
  <c r="HT52" i="7"/>
  <c r="HS52" i="7"/>
  <c r="HR52" i="7"/>
  <c r="HQ52" i="7"/>
  <c r="HP52" i="7"/>
  <c r="HO52" i="7"/>
  <c r="HN52" i="7"/>
  <c r="HM52" i="7"/>
  <c r="HL52" i="7"/>
  <c r="HK52" i="7"/>
  <c r="HJ52" i="7"/>
  <c r="HI52" i="7"/>
  <c r="HH52" i="7"/>
  <c r="HG52" i="7"/>
  <c r="HF52" i="7"/>
  <c r="HE52" i="7"/>
  <c r="HD52" i="7"/>
  <c r="HC52" i="7"/>
  <c r="HB52" i="7"/>
  <c r="HA52" i="7"/>
  <c r="GZ52" i="7"/>
  <c r="GY52" i="7"/>
  <c r="GX52" i="7"/>
  <c r="GW52" i="7"/>
  <c r="GV52" i="7"/>
  <c r="GU52" i="7"/>
  <c r="GT52" i="7"/>
  <c r="GS52" i="7"/>
  <c r="GR52" i="7"/>
  <c r="GQ52" i="7"/>
  <c r="GP52" i="7"/>
  <c r="GO52" i="7"/>
  <c r="GN52" i="7"/>
  <c r="GM52" i="7"/>
  <c r="GL52" i="7"/>
  <c r="GK52" i="7"/>
  <c r="GJ52" i="7"/>
  <c r="GI52" i="7"/>
  <c r="GH52" i="7"/>
  <c r="GG52" i="7"/>
  <c r="GF52" i="7"/>
  <c r="GE52" i="7"/>
  <c r="GD52" i="7"/>
  <c r="GC52" i="7"/>
  <c r="GB52" i="7"/>
  <c r="GA52" i="7"/>
  <c r="FZ52" i="7"/>
  <c r="FY52" i="7"/>
  <c r="FX52" i="7"/>
  <c r="FW52" i="7"/>
  <c r="FV52" i="7"/>
  <c r="FU52" i="7"/>
  <c r="FT52" i="7"/>
  <c r="FS52" i="7"/>
  <c r="FR52" i="7"/>
  <c r="FQ52" i="7"/>
  <c r="FP52" i="7"/>
  <c r="FO52" i="7"/>
  <c r="FN52" i="7"/>
  <c r="FM52" i="7"/>
  <c r="FL52" i="7"/>
  <c r="FK52" i="7"/>
  <c r="FJ52" i="7"/>
  <c r="FI52" i="7"/>
  <c r="FH52" i="7"/>
  <c r="FG52" i="7"/>
  <c r="FF52" i="7"/>
  <c r="FE52" i="7"/>
  <c r="FD52" i="7"/>
  <c r="FC52" i="7"/>
  <c r="FB52" i="7"/>
  <c r="FA52" i="7"/>
  <c r="EZ52" i="7"/>
  <c r="EY52" i="7"/>
  <c r="EX52" i="7"/>
  <c r="EW52" i="7"/>
  <c r="EV52" i="7"/>
  <c r="EU52" i="7"/>
  <c r="ET52" i="7"/>
  <c r="ES52" i="7"/>
  <c r="ER52" i="7"/>
  <c r="EQ52" i="7"/>
  <c r="EP52" i="7"/>
  <c r="EO52" i="7"/>
  <c r="EN52" i="7"/>
  <c r="EM52" i="7"/>
  <c r="EL52" i="7"/>
  <c r="EK52" i="7"/>
  <c r="EJ52" i="7"/>
  <c r="EI52" i="7"/>
  <c r="EH52" i="7"/>
  <c r="EG52" i="7"/>
  <c r="EF52" i="7"/>
  <c r="EE52" i="7"/>
  <c r="ED52" i="7"/>
  <c r="EC52" i="7"/>
  <c r="EB52" i="7"/>
  <c r="EA52" i="7"/>
  <c r="DZ52" i="7"/>
  <c r="DY52" i="7"/>
  <c r="DX52" i="7"/>
  <c r="DW52" i="7"/>
  <c r="DV52" i="7"/>
  <c r="DU52" i="7"/>
  <c r="DT52" i="7"/>
  <c r="DS52" i="7"/>
  <c r="DR52" i="7"/>
  <c r="DQ52" i="7"/>
  <c r="DP52" i="7"/>
  <c r="DO52" i="7"/>
  <c r="DN52" i="7"/>
  <c r="DM52" i="7"/>
  <c r="DL52" i="7"/>
  <c r="DK52" i="7"/>
  <c r="DJ52" i="7"/>
  <c r="DI52" i="7"/>
  <c r="DH52" i="7"/>
  <c r="DG52" i="7"/>
  <c r="DF52" i="7"/>
  <c r="DE52" i="7"/>
  <c r="DD52" i="7"/>
  <c r="DC52" i="7"/>
  <c r="DB52" i="7"/>
  <c r="DA52" i="7"/>
  <c r="CZ52" i="7"/>
  <c r="CY52" i="7"/>
  <c r="CX52" i="7"/>
  <c r="CW52" i="7"/>
  <c r="CV52" i="7"/>
  <c r="CU52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A52" i="7"/>
  <c r="IV51" i="7"/>
  <c r="IU51" i="7"/>
  <c r="IT51" i="7"/>
  <c r="IS51" i="7"/>
  <c r="IR51" i="7"/>
  <c r="IQ51" i="7"/>
  <c r="IP51" i="7"/>
  <c r="IO51" i="7"/>
  <c r="IN51" i="7"/>
  <c r="IM51" i="7"/>
  <c r="IL51" i="7"/>
  <c r="IK51" i="7"/>
  <c r="IJ51" i="7"/>
  <c r="II51" i="7"/>
  <c r="IH51" i="7"/>
  <c r="IG51" i="7"/>
  <c r="IF51" i="7"/>
  <c r="IE51" i="7"/>
  <c r="ID51" i="7"/>
  <c r="IC51" i="7"/>
  <c r="IB51" i="7"/>
  <c r="IA51" i="7"/>
  <c r="HZ51" i="7"/>
  <c r="HY51" i="7"/>
  <c r="HX51" i="7"/>
  <c r="HW51" i="7"/>
  <c r="HV51" i="7"/>
  <c r="HU51" i="7"/>
  <c r="HT51" i="7"/>
  <c r="HS51" i="7"/>
  <c r="HR51" i="7"/>
  <c r="HQ51" i="7"/>
  <c r="HP51" i="7"/>
  <c r="HO51" i="7"/>
  <c r="HN51" i="7"/>
  <c r="HM51" i="7"/>
  <c r="HL51" i="7"/>
  <c r="HK51" i="7"/>
  <c r="HJ51" i="7"/>
  <c r="HI51" i="7"/>
  <c r="HH51" i="7"/>
  <c r="HG51" i="7"/>
  <c r="HF51" i="7"/>
  <c r="HE51" i="7"/>
  <c r="HD51" i="7"/>
  <c r="HC51" i="7"/>
  <c r="HB51" i="7"/>
  <c r="HA51" i="7"/>
  <c r="GZ51" i="7"/>
  <c r="GY51" i="7"/>
  <c r="GX51" i="7"/>
  <c r="GW51" i="7"/>
  <c r="GV51" i="7"/>
  <c r="GU51" i="7"/>
  <c r="GT51" i="7"/>
  <c r="GS51" i="7"/>
  <c r="GR51" i="7"/>
  <c r="GQ51" i="7"/>
  <c r="GP51" i="7"/>
  <c r="GO51" i="7"/>
  <c r="GN51" i="7"/>
  <c r="GM51" i="7"/>
  <c r="GL51" i="7"/>
  <c r="GK51" i="7"/>
  <c r="GJ51" i="7"/>
  <c r="GI51" i="7"/>
  <c r="GH51" i="7"/>
  <c r="GG51" i="7"/>
  <c r="GF51" i="7"/>
  <c r="GE51" i="7"/>
  <c r="GD51" i="7"/>
  <c r="GC51" i="7"/>
  <c r="GB51" i="7"/>
  <c r="GA51" i="7"/>
  <c r="FZ51" i="7"/>
  <c r="FY51" i="7"/>
  <c r="FX51" i="7"/>
  <c r="FW51" i="7"/>
  <c r="FV51" i="7"/>
  <c r="FU51" i="7"/>
  <c r="FT51" i="7"/>
  <c r="FS51" i="7"/>
  <c r="FR51" i="7"/>
  <c r="FQ51" i="7"/>
  <c r="FP51" i="7"/>
  <c r="FO51" i="7"/>
  <c r="FN51" i="7"/>
  <c r="FM51" i="7"/>
  <c r="FL51" i="7"/>
  <c r="FK51" i="7"/>
  <c r="FJ51" i="7"/>
  <c r="FI51" i="7"/>
  <c r="FH51" i="7"/>
  <c r="FG51" i="7"/>
  <c r="FF51" i="7"/>
  <c r="FE51" i="7"/>
  <c r="FD51" i="7"/>
  <c r="FC51" i="7"/>
  <c r="FB51" i="7"/>
  <c r="FA51" i="7"/>
  <c r="EZ51" i="7"/>
  <c r="EY51" i="7"/>
  <c r="EX51" i="7"/>
  <c r="EW51" i="7"/>
  <c r="EV51" i="7"/>
  <c r="EU51" i="7"/>
  <c r="ET51" i="7"/>
  <c r="ES51" i="7"/>
  <c r="ER51" i="7"/>
  <c r="EQ51" i="7"/>
  <c r="EP51" i="7"/>
  <c r="EO51" i="7"/>
  <c r="EN51" i="7"/>
  <c r="EM51" i="7"/>
  <c r="EL51" i="7"/>
  <c r="EK51" i="7"/>
  <c r="EJ51" i="7"/>
  <c r="EI51" i="7"/>
  <c r="EH51" i="7"/>
  <c r="EG51" i="7"/>
  <c r="EF51" i="7"/>
  <c r="EE51" i="7"/>
  <c r="ED51" i="7"/>
  <c r="EC51" i="7"/>
  <c r="EB51" i="7"/>
  <c r="EA51" i="7"/>
  <c r="DZ51" i="7"/>
  <c r="DY51" i="7"/>
  <c r="DX51" i="7"/>
  <c r="DW51" i="7"/>
  <c r="DV51" i="7"/>
  <c r="DU51" i="7"/>
  <c r="DT51" i="7"/>
  <c r="DS51" i="7"/>
  <c r="DR51" i="7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51" i="7"/>
  <c r="IV50" i="7"/>
  <c r="IU50" i="7"/>
  <c r="IT50" i="7"/>
  <c r="IS50" i="7"/>
  <c r="IR50" i="7"/>
  <c r="IQ50" i="7"/>
  <c r="IP50" i="7"/>
  <c r="IO50" i="7"/>
  <c r="IN50" i="7"/>
  <c r="IM50" i="7"/>
  <c r="IL50" i="7"/>
  <c r="IK50" i="7"/>
  <c r="IJ50" i="7"/>
  <c r="II50" i="7"/>
  <c r="IH50" i="7"/>
  <c r="IG50" i="7"/>
  <c r="IF50" i="7"/>
  <c r="IE50" i="7"/>
  <c r="ID50" i="7"/>
  <c r="IC50" i="7"/>
  <c r="IB50" i="7"/>
  <c r="IA50" i="7"/>
  <c r="HZ50" i="7"/>
  <c r="HY50" i="7"/>
  <c r="HX50" i="7"/>
  <c r="HW50" i="7"/>
  <c r="HV50" i="7"/>
  <c r="HU50" i="7"/>
  <c r="HT50" i="7"/>
  <c r="HS50" i="7"/>
  <c r="HR50" i="7"/>
  <c r="HQ50" i="7"/>
  <c r="HP50" i="7"/>
  <c r="HO50" i="7"/>
  <c r="HN50" i="7"/>
  <c r="HM50" i="7"/>
  <c r="HL50" i="7"/>
  <c r="HK50" i="7"/>
  <c r="HJ50" i="7"/>
  <c r="HI50" i="7"/>
  <c r="HH50" i="7"/>
  <c r="HG50" i="7"/>
  <c r="HF50" i="7"/>
  <c r="HE50" i="7"/>
  <c r="HD50" i="7"/>
  <c r="HC50" i="7"/>
  <c r="HB50" i="7"/>
  <c r="HA50" i="7"/>
  <c r="GZ50" i="7"/>
  <c r="GY50" i="7"/>
  <c r="GX50" i="7"/>
  <c r="GW50" i="7"/>
  <c r="GV50" i="7"/>
  <c r="GU50" i="7"/>
  <c r="GT50" i="7"/>
  <c r="GS50" i="7"/>
  <c r="GR50" i="7"/>
  <c r="GQ50" i="7"/>
  <c r="GP50" i="7"/>
  <c r="GO50" i="7"/>
  <c r="GN50" i="7"/>
  <c r="GM50" i="7"/>
  <c r="GL50" i="7"/>
  <c r="GK50" i="7"/>
  <c r="GJ50" i="7"/>
  <c r="GI50" i="7"/>
  <c r="GH50" i="7"/>
  <c r="GG50" i="7"/>
  <c r="GF50" i="7"/>
  <c r="GE50" i="7"/>
  <c r="GD50" i="7"/>
  <c r="GC50" i="7"/>
  <c r="GB50" i="7"/>
  <c r="GA50" i="7"/>
  <c r="FZ50" i="7"/>
  <c r="FY50" i="7"/>
  <c r="FX50" i="7"/>
  <c r="FW50" i="7"/>
  <c r="FV50" i="7"/>
  <c r="FU50" i="7"/>
  <c r="FT50" i="7"/>
  <c r="FS50" i="7"/>
  <c r="FR50" i="7"/>
  <c r="FQ50" i="7"/>
  <c r="FP50" i="7"/>
  <c r="FO50" i="7"/>
  <c r="FN50" i="7"/>
  <c r="FM50" i="7"/>
  <c r="FL50" i="7"/>
  <c r="FK50" i="7"/>
  <c r="FJ50" i="7"/>
  <c r="FI50" i="7"/>
  <c r="FH50" i="7"/>
  <c r="FG50" i="7"/>
  <c r="FF50" i="7"/>
  <c r="FE50" i="7"/>
  <c r="FD50" i="7"/>
  <c r="FC50" i="7"/>
  <c r="FB50" i="7"/>
  <c r="FA50" i="7"/>
  <c r="EZ50" i="7"/>
  <c r="EY50" i="7"/>
  <c r="EX50" i="7"/>
  <c r="EW50" i="7"/>
  <c r="EV50" i="7"/>
  <c r="EU50" i="7"/>
  <c r="ET50" i="7"/>
  <c r="ES50" i="7"/>
  <c r="ER50" i="7"/>
  <c r="EQ50" i="7"/>
  <c r="EP50" i="7"/>
  <c r="EO50" i="7"/>
  <c r="EN50" i="7"/>
  <c r="EM50" i="7"/>
  <c r="EL50" i="7"/>
  <c r="EK50" i="7"/>
  <c r="EJ50" i="7"/>
  <c r="EI50" i="7"/>
  <c r="EH50" i="7"/>
  <c r="EG50" i="7"/>
  <c r="EF50" i="7"/>
  <c r="EE50" i="7"/>
  <c r="ED50" i="7"/>
  <c r="EC50" i="7"/>
  <c r="EB50" i="7"/>
  <c r="EA50" i="7"/>
  <c r="DZ50" i="7"/>
  <c r="DY50" i="7"/>
  <c r="DX50" i="7"/>
  <c r="DW50" i="7"/>
  <c r="DV50" i="7"/>
  <c r="DU50" i="7"/>
  <c r="DT50" i="7"/>
  <c r="DS50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50" i="7"/>
  <c r="IV49" i="7"/>
  <c r="IU49" i="7"/>
  <c r="IT49" i="7"/>
  <c r="IS49" i="7"/>
  <c r="IR49" i="7"/>
  <c r="IQ49" i="7"/>
  <c r="IP49" i="7"/>
  <c r="IO49" i="7"/>
  <c r="IN49" i="7"/>
  <c r="IM49" i="7"/>
  <c r="IL49" i="7"/>
  <c r="IK49" i="7"/>
  <c r="IJ49" i="7"/>
  <c r="II49" i="7"/>
  <c r="IH49" i="7"/>
  <c r="IG49" i="7"/>
  <c r="IF49" i="7"/>
  <c r="IE49" i="7"/>
  <c r="ID49" i="7"/>
  <c r="IC49" i="7"/>
  <c r="IB49" i="7"/>
  <c r="IA49" i="7"/>
  <c r="HZ49" i="7"/>
  <c r="HY49" i="7"/>
  <c r="HX49" i="7"/>
  <c r="HW49" i="7"/>
  <c r="HV49" i="7"/>
  <c r="HU49" i="7"/>
  <c r="HT49" i="7"/>
  <c r="HS49" i="7"/>
  <c r="HR49" i="7"/>
  <c r="HQ49" i="7"/>
  <c r="HP49" i="7"/>
  <c r="HO49" i="7"/>
  <c r="HN49" i="7"/>
  <c r="HM49" i="7"/>
  <c r="HL49" i="7"/>
  <c r="HK49" i="7"/>
  <c r="HJ49" i="7"/>
  <c r="HI49" i="7"/>
  <c r="HH49" i="7"/>
  <c r="HG49" i="7"/>
  <c r="HF49" i="7"/>
  <c r="HE49" i="7"/>
  <c r="HD49" i="7"/>
  <c r="HC49" i="7"/>
  <c r="HB49" i="7"/>
  <c r="HA49" i="7"/>
  <c r="GZ49" i="7"/>
  <c r="GY49" i="7"/>
  <c r="GX49" i="7"/>
  <c r="GW49" i="7"/>
  <c r="GV49" i="7"/>
  <c r="GU49" i="7"/>
  <c r="GT49" i="7"/>
  <c r="GS49" i="7"/>
  <c r="GR49" i="7"/>
  <c r="GQ49" i="7"/>
  <c r="GP49" i="7"/>
  <c r="GO49" i="7"/>
  <c r="GN49" i="7"/>
  <c r="GM49" i="7"/>
  <c r="GL49" i="7"/>
  <c r="GK49" i="7"/>
  <c r="GJ49" i="7"/>
  <c r="GI49" i="7"/>
  <c r="GH49" i="7"/>
  <c r="GG49" i="7"/>
  <c r="GF49" i="7"/>
  <c r="GE49" i="7"/>
  <c r="GD49" i="7"/>
  <c r="GC49" i="7"/>
  <c r="GB49" i="7"/>
  <c r="GA49" i="7"/>
  <c r="FZ49" i="7"/>
  <c r="FY49" i="7"/>
  <c r="FX49" i="7"/>
  <c r="FW49" i="7"/>
  <c r="FV49" i="7"/>
  <c r="FU49" i="7"/>
  <c r="FT49" i="7"/>
  <c r="FS49" i="7"/>
  <c r="FR49" i="7"/>
  <c r="FQ49" i="7"/>
  <c r="FP49" i="7"/>
  <c r="FO49" i="7"/>
  <c r="FN49" i="7"/>
  <c r="FM49" i="7"/>
  <c r="FL49" i="7"/>
  <c r="FK49" i="7"/>
  <c r="FJ49" i="7"/>
  <c r="FI49" i="7"/>
  <c r="FH49" i="7"/>
  <c r="FG49" i="7"/>
  <c r="FF49" i="7"/>
  <c r="FE49" i="7"/>
  <c r="FD49" i="7"/>
  <c r="FC49" i="7"/>
  <c r="FB49" i="7"/>
  <c r="FA49" i="7"/>
  <c r="EZ49" i="7"/>
  <c r="EY49" i="7"/>
  <c r="EX49" i="7"/>
  <c r="EW49" i="7"/>
  <c r="EV49" i="7"/>
  <c r="EU49" i="7"/>
  <c r="ET49" i="7"/>
  <c r="ES49" i="7"/>
  <c r="ER49" i="7"/>
  <c r="EQ49" i="7"/>
  <c r="EP49" i="7"/>
  <c r="EO49" i="7"/>
  <c r="EN49" i="7"/>
  <c r="EM49" i="7"/>
  <c r="EL49" i="7"/>
  <c r="EK49" i="7"/>
  <c r="EJ49" i="7"/>
  <c r="EI49" i="7"/>
  <c r="EH49" i="7"/>
  <c r="EG49" i="7"/>
  <c r="EF49" i="7"/>
  <c r="EE49" i="7"/>
  <c r="ED49" i="7"/>
  <c r="EC49" i="7"/>
  <c r="EB49" i="7"/>
  <c r="EA49" i="7"/>
  <c r="DZ49" i="7"/>
  <c r="DY49" i="7"/>
  <c r="DX49" i="7"/>
  <c r="DW49" i="7"/>
  <c r="DV49" i="7"/>
  <c r="DU49" i="7"/>
  <c r="DT49" i="7"/>
  <c r="DS49" i="7"/>
  <c r="DR49" i="7"/>
  <c r="DQ49" i="7"/>
  <c r="DP49" i="7"/>
  <c r="DO49" i="7"/>
  <c r="DN49" i="7"/>
  <c r="DM49" i="7"/>
  <c r="DL49" i="7"/>
  <c r="DK49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49" i="7"/>
  <c r="IV48" i="7"/>
  <c r="IU48" i="7"/>
  <c r="IT48" i="7"/>
  <c r="IS48" i="7"/>
  <c r="IR48" i="7"/>
  <c r="IQ48" i="7"/>
  <c r="IP48" i="7"/>
  <c r="IO48" i="7"/>
  <c r="IN48" i="7"/>
  <c r="IM48" i="7"/>
  <c r="IL48" i="7"/>
  <c r="IK48" i="7"/>
  <c r="IJ48" i="7"/>
  <c r="II48" i="7"/>
  <c r="IH48" i="7"/>
  <c r="IG48" i="7"/>
  <c r="IF48" i="7"/>
  <c r="IE48" i="7"/>
  <c r="ID48" i="7"/>
  <c r="IC48" i="7"/>
  <c r="IB48" i="7"/>
  <c r="IA48" i="7"/>
  <c r="HZ48" i="7"/>
  <c r="HY48" i="7"/>
  <c r="HX48" i="7"/>
  <c r="HW48" i="7"/>
  <c r="HV48" i="7"/>
  <c r="HU48" i="7"/>
  <c r="HT48" i="7"/>
  <c r="HS48" i="7"/>
  <c r="HR48" i="7"/>
  <c r="HQ48" i="7"/>
  <c r="HP48" i="7"/>
  <c r="HO48" i="7"/>
  <c r="HN48" i="7"/>
  <c r="HM48" i="7"/>
  <c r="HL48" i="7"/>
  <c r="HK48" i="7"/>
  <c r="HJ48" i="7"/>
  <c r="HI48" i="7"/>
  <c r="HH48" i="7"/>
  <c r="HG48" i="7"/>
  <c r="HF48" i="7"/>
  <c r="HE48" i="7"/>
  <c r="HD48" i="7"/>
  <c r="HC48" i="7"/>
  <c r="HB48" i="7"/>
  <c r="HA48" i="7"/>
  <c r="GZ48" i="7"/>
  <c r="GY48" i="7"/>
  <c r="GX48" i="7"/>
  <c r="GW48" i="7"/>
  <c r="GV48" i="7"/>
  <c r="GU48" i="7"/>
  <c r="GT48" i="7"/>
  <c r="GS48" i="7"/>
  <c r="GR48" i="7"/>
  <c r="GQ48" i="7"/>
  <c r="GP48" i="7"/>
  <c r="GO48" i="7"/>
  <c r="GN48" i="7"/>
  <c r="GM48" i="7"/>
  <c r="GL48" i="7"/>
  <c r="GK48" i="7"/>
  <c r="GJ48" i="7"/>
  <c r="GI48" i="7"/>
  <c r="GH48" i="7"/>
  <c r="GG48" i="7"/>
  <c r="GF48" i="7"/>
  <c r="GE48" i="7"/>
  <c r="GD48" i="7"/>
  <c r="GC48" i="7"/>
  <c r="GB48" i="7"/>
  <c r="GA48" i="7"/>
  <c r="FZ48" i="7"/>
  <c r="FY48" i="7"/>
  <c r="FX48" i="7"/>
  <c r="FW48" i="7"/>
  <c r="FV48" i="7"/>
  <c r="FU48" i="7"/>
  <c r="FT48" i="7"/>
  <c r="FS48" i="7"/>
  <c r="FR48" i="7"/>
  <c r="FQ48" i="7"/>
  <c r="FP48" i="7"/>
  <c r="FO48" i="7"/>
  <c r="FN48" i="7"/>
  <c r="FM48" i="7"/>
  <c r="FL48" i="7"/>
  <c r="FK48" i="7"/>
  <c r="FJ48" i="7"/>
  <c r="FI48" i="7"/>
  <c r="FH48" i="7"/>
  <c r="FG48" i="7"/>
  <c r="FF48" i="7"/>
  <c r="FE48" i="7"/>
  <c r="FD48" i="7"/>
  <c r="FC48" i="7"/>
  <c r="FB48" i="7"/>
  <c r="FA48" i="7"/>
  <c r="EZ48" i="7"/>
  <c r="EY48" i="7"/>
  <c r="EX48" i="7"/>
  <c r="EW48" i="7"/>
  <c r="EV48" i="7"/>
  <c r="EU48" i="7"/>
  <c r="ET48" i="7"/>
  <c r="ES48" i="7"/>
  <c r="ER48" i="7"/>
  <c r="EQ48" i="7"/>
  <c r="EP48" i="7"/>
  <c r="EO48" i="7"/>
  <c r="EN48" i="7"/>
  <c r="EM48" i="7"/>
  <c r="EL48" i="7"/>
  <c r="EK48" i="7"/>
  <c r="EJ48" i="7"/>
  <c r="EI48" i="7"/>
  <c r="EH48" i="7"/>
  <c r="EG48" i="7"/>
  <c r="EF48" i="7"/>
  <c r="EE48" i="7"/>
  <c r="ED48" i="7"/>
  <c r="EC48" i="7"/>
  <c r="EB48" i="7"/>
  <c r="EA48" i="7"/>
  <c r="DZ48" i="7"/>
  <c r="DY48" i="7"/>
  <c r="DX48" i="7"/>
  <c r="DW48" i="7"/>
  <c r="DV48" i="7"/>
  <c r="DU48" i="7"/>
  <c r="DT48" i="7"/>
  <c r="DS48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48" i="7"/>
  <c r="IV47" i="7"/>
  <c r="IU47" i="7"/>
  <c r="IT47" i="7"/>
  <c r="IS47" i="7"/>
  <c r="IR47" i="7"/>
  <c r="IQ47" i="7"/>
  <c r="IP47" i="7"/>
  <c r="IO47" i="7"/>
  <c r="IN47" i="7"/>
  <c r="IM47" i="7"/>
  <c r="IL47" i="7"/>
  <c r="IK47" i="7"/>
  <c r="IJ47" i="7"/>
  <c r="II47" i="7"/>
  <c r="IH47" i="7"/>
  <c r="IG47" i="7"/>
  <c r="IF47" i="7"/>
  <c r="IE47" i="7"/>
  <c r="ID47" i="7"/>
  <c r="IC47" i="7"/>
  <c r="IB47" i="7"/>
  <c r="IA47" i="7"/>
  <c r="HZ47" i="7"/>
  <c r="HY47" i="7"/>
  <c r="HX47" i="7"/>
  <c r="HW47" i="7"/>
  <c r="HV47" i="7"/>
  <c r="HU47" i="7"/>
  <c r="HT47" i="7"/>
  <c r="HS47" i="7"/>
  <c r="HR47" i="7"/>
  <c r="HQ47" i="7"/>
  <c r="HP47" i="7"/>
  <c r="HO47" i="7"/>
  <c r="HN47" i="7"/>
  <c r="HM47" i="7"/>
  <c r="HL47" i="7"/>
  <c r="HK47" i="7"/>
  <c r="HJ47" i="7"/>
  <c r="HI47" i="7"/>
  <c r="HH47" i="7"/>
  <c r="HG47" i="7"/>
  <c r="HF47" i="7"/>
  <c r="HE47" i="7"/>
  <c r="HD47" i="7"/>
  <c r="HC47" i="7"/>
  <c r="HB47" i="7"/>
  <c r="HA47" i="7"/>
  <c r="GZ47" i="7"/>
  <c r="GY47" i="7"/>
  <c r="GX47" i="7"/>
  <c r="GW47" i="7"/>
  <c r="GV47" i="7"/>
  <c r="GU47" i="7"/>
  <c r="GT47" i="7"/>
  <c r="GS47" i="7"/>
  <c r="GR47" i="7"/>
  <c r="GQ47" i="7"/>
  <c r="GP47" i="7"/>
  <c r="GO47" i="7"/>
  <c r="GN47" i="7"/>
  <c r="GM47" i="7"/>
  <c r="GL47" i="7"/>
  <c r="GK47" i="7"/>
  <c r="GJ47" i="7"/>
  <c r="GI47" i="7"/>
  <c r="GH47" i="7"/>
  <c r="GG47" i="7"/>
  <c r="GF47" i="7"/>
  <c r="GE47" i="7"/>
  <c r="GD47" i="7"/>
  <c r="GC47" i="7"/>
  <c r="GB47" i="7"/>
  <c r="GA47" i="7"/>
  <c r="FZ47" i="7"/>
  <c r="FY47" i="7"/>
  <c r="FX47" i="7"/>
  <c r="FW47" i="7"/>
  <c r="FV47" i="7"/>
  <c r="FU47" i="7"/>
  <c r="FT47" i="7"/>
  <c r="FS47" i="7"/>
  <c r="FR47" i="7"/>
  <c r="FQ47" i="7"/>
  <c r="FP47" i="7"/>
  <c r="FO47" i="7"/>
  <c r="FN47" i="7"/>
  <c r="FM47" i="7"/>
  <c r="FL47" i="7"/>
  <c r="FK47" i="7"/>
  <c r="FJ47" i="7"/>
  <c r="FI47" i="7"/>
  <c r="FH47" i="7"/>
  <c r="FG47" i="7"/>
  <c r="FF47" i="7"/>
  <c r="FE47" i="7"/>
  <c r="FD47" i="7"/>
  <c r="FC47" i="7"/>
  <c r="FB47" i="7"/>
  <c r="FA47" i="7"/>
  <c r="EZ47" i="7"/>
  <c r="EY47" i="7"/>
  <c r="EX47" i="7"/>
  <c r="EW47" i="7"/>
  <c r="EV47" i="7"/>
  <c r="EU47" i="7"/>
  <c r="ET47" i="7"/>
  <c r="ES47" i="7"/>
  <c r="ER47" i="7"/>
  <c r="EQ47" i="7"/>
  <c r="EP47" i="7"/>
  <c r="EO47" i="7"/>
  <c r="EN47" i="7"/>
  <c r="EM47" i="7"/>
  <c r="EL47" i="7"/>
  <c r="EK47" i="7"/>
  <c r="EJ47" i="7"/>
  <c r="EI47" i="7"/>
  <c r="EH47" i="7"/>
  <c r="EG47" i="7"/>
  <c r="EF47" i="7"/>
  <c r="EE47" i="7"/>
  <c r="ED47" i="7"/>
  <c r="EC47" i="7"/>
  <c r="EB47" i="7"/>
  <c r="EA47" i="7"/>
  <c r="DZ47" i="7"/>
  <c r="DY47" i="7"/>
  <c r="DX47" i="7"/>
  <c r="DW47" i="7"/>
  <c r="DV47" i="7"/>
  <c r="DU47" i="7"/>
  <c r="DT47" i="7"/>
  <c r="DS47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47" i="7"/>
  <c r="IV46" i="7"/>
  <c r="IU46" i="7"/>
  <c r="IT46" i="7"/>
  <c r="IS46" i="7"/>
  <c r="IR46" i="7"/>
  <c r="IQ46" i="7"/>
  <c r="IP46" i="7"/>
  <c r="IO46" i="7"/>
  <c r="IN46" i="7"/>
  <c r="IM46" i="7"/>
  <c r="IL46" i="7"/>
  <c r="IK46" i="7"/>
  <c r="IJ46" i="7"/>
  <c r="II46" i="7"/>
  <c r="IH46" i="7"/>
  <c r="IG46" i="7"/>
  <c r="IF46" i="7"/>
  <c r="IE46" i="7"/>
  <c r="ID46" i="7"/>
  <c r="IC46" i="7"/>
  <c r="IB46" i="7"/>
  <c r="IA46" i="7"/>
  <c r="HZ46" i="7"/>
  <c r="HY46" i="7"/>
  <c r="HX46" i="7"/>
  <c r="HW46" i="7"/>
  <c r="HV46" i="7"/>
  <c r="HU46" i="7"/>
  <c r="HT46" i="7"/>
  <c r="HS46" i="7"/>
  <c r="HR46" i="7"/>
  <c r="HQ46" i="7"/>
  <c r="HP46" i="7"/>
  <c r="HO46" i="7"/>
  <c r="HN46" i="7"/>
  <c r="HM46" i="7"/>
  <c r="HL46" i="7"/>
  <c r="HK46" i="7"/>
  <c r="HJ46" i="7"/>
  <c r="HI46" i="7"/>
  <c r="HH46" i="7"/>
  <c r="HG46" i="7"/>
  <c r="HF46" i="7"/>
  <c r="HE46" i="7"/>
  <c r="HD46" i="7"/>
  <c r="HC46" i="7"/>
  <c r="HB46" i="7"/>
  <c r="HA46" i="7"/>
  <c r="GZ46" i="7"/>
  <c r="GY46" i="7"/>
  <c r="GX46" i="7"/>
  <c r="GW46" i="7"/>
  <c r="GV46" i="7"/>
  <c r="GU46" i="7"/>
  <c r="GT46" i="7"/>
  <c r="GS46" i="7"/>
  <c r="GR46" i="7"/>
  <c r="GQ46" i="7"/>
  <c r="GP46" i="7"/>
  <c r="GO46" i="7"/>
  <c r="GN46" i="7"/>
  <c r="GM46" i="7"/>
  <c r="GL46" i="7"/>
  <c r="GK46" i="7"/>
  <c r="GJ46" i="7"/>
  <c r="GI46" i="7"/>
  <c r="GH46" i="7"/>
  <c r="GG46" i="7"/>
  <c r="GF46" i="7"/>
  <c r="GE46" i="7"/>
  <c r="GD46" i="7"/>
  <c r="GC46" i="7"/>
  <c r="GB46" i="7"/>
  <c r="GA46" i="7"/>
  <c r="FZ46" i="7"/>
  <c r="FY46" i="7"/>
  <c r="FX46" i="7"/>
  <c r="FW46" i="7"/>
  <c r="FV46" i="7"/>
  <c r="FU46" i="7"/>
  <c r="FT46" i="7"/>
  <c r="FS46" i="7"/>
  <c r="FR46" i="7"/>
  <c r="FQ46" i="7"/>
  <c r="FP46" i="7"/>
  <c r="FO46" i="7"/>
  <c r="FN46" i="7"/>
  <c r="FM46" i="7"/>
  <c r="FL46" i="7"/>
  <c r="FK46" i="7"/>
  <c r="FJ46" i="7"/>
  <c r="FI46" i="7"/>
  <c r="FH46" i="7"/>
  <c r="FG46" i="7"/>
  <c r="FF46" i="7"/>
  <c r="FE46" i="7"/>
  <c r="FD46" i="7"/>
  <c r="FC46" i="7"/>
  <c r="FB46" i="7"/>
  <c r="FA46" i="7"/>
  <c r="EZ46" i="7"/>
  <c r="EY46" i="7"/>
  <c r="EX46" i="7"/>
  <c r="EW46" i="7"/>
  <c r="EV46" i="7"/>
  <c r="EU46" i="7"/>
  <c r="ET46" i="7"/>
  <c r="ES46" i="7"/>
  <c r="ER46" i="7"/>
  <c r="EQ46" i="7"/>
  <c r="EP46" i="7"/>
  <c r="EO46" i="7"/>
  <c r="EN46" i="7"/>
  <c r="EM46" i="7"/>
  <c r="EL46" i="7"/>
  <c r="EK46" i="7"/>
  <c r="EJ46" i="7"/>
  <c r="EI46" i="7"/>
  <c r="EH46" i="7"/>
  <c r="EG46" i="7"/>
  <c r="EF46" i="7"/>
  <c r="EE46" i="7"/>
  <c r="ED46" i="7"/>
  <c r="EC46" i="7"/>
  <c r="EB46" i="7"/>
  <c r="EA46" i="7"/>
  <c r="DZ46" i="7"/>
  <c r="DY46" i="7"/>
  <c r="DX46" i="7"/>
  <c r="DW46" i="7"/>
  <c r="DV46" i="7"/>
  <c r="DU46" i="7"/>
  <c r="DT46" i="7"/>
  <c r="DS46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46" i="7"/>
  <c r="IV45" i="7"/>
  <c r="IU45" i="7"/>
  <c r="IT45" i="7"/>
  <c r="IS45" i="7"/>
  <c r="IR45" i="7"/>
  <c r="IQ45" i="7"/>
  <c r="IP45" i="7"/>
  <c r="IO45" i="7"/>
  <c r="IN45" i="7"/>
  <c r="IM45" i="7"/>
  <c r="IL45" i="7"/>
  <c r="IK45" i="7"/>
  <c r="IJ45" i="7"/>
  <c r="II45" i="7"/>
  <c r="IH45" i="7"/>
  <c r="IG45" i="7"/>
  <c r="IF45" i="7"/>
  <c r="IE45" i="7"/>
  <c r="ID45" i="7"/>
  <c r="IC45" i="7"/>
  <c r="IB45" i="7"/>
  <c r="IA45" i="7"/>
  <c r="HZ45" i="7"/>
  <c r="HY45" i="7"/>
  <c r="HX45" i="7"/>
  <c r="HW45" i="7"/>
  <c r="HV45" i="7"/>
  <c r="HU45" i="7"/>
  <c r="HT45" i="7"/>
  <c r="HS45" i="7"/>
  <c r="HR45" i="7"/>
  <c r="HQ45" i="7"/>
  <c r="HP45" i="7"/>
  <c r="HO45" i="7"/>
  <c r="HN45" i="7"/>
  <c r="HM45" i="7"/>
  <c r="HL45" i="7"/>
  <c r="HK45" i="7"/>
  <c r="HJ45" i="7"/>
  <c r="HI45" i="7"/>
  <c r="HH45" i="7"/>
  <c r="HG45" i="7"/>
  <c r="HF45" i="7"/>
  <c r="HE45" i="7"/>
  <c r="HD45" i="7"/>
  <c r="HC45" i="7"/>
  <c r="HB45" i="7"/>
  <c r="HA45" i="7"/>
  <c r="GZ45" i="7"/>
  <c r="GY45" i="7"/>
  <c r="GX45" i="7"/>
  <c r="GW45" i="7"/>
  <c r="GV45" i="7"/>
  <c r="GU45" i="7"/>
  <c r="GT45" i="7"/>
  <c r="GS45" i="7"/>
  <c r="GR45" i="7"/>
  <c r="GQ45" i="7"/>
  <c r="GP45" i="7"/>
  <c r="GO45" i="7"/>
  <c r="GN45" i="7"/>
  <c r="GM45" i="7"/>
  <c r="GL45" i="7"/>
  <c r="GK45" i="7"/>
  <c r="GJ45" i="7"/>
  <c r="GI45" i="7"/>
  <c r="GH45" i="7"/>
  <c r="GG45" i="7"/>
  <c r="GF45" i="7"/>
  <c r="GE45" i="7"/>
  <c r="GD45" i="7"/>
  <c r="GC45" i="7"/>
  <c r="GB45" i="7"/>
  <c r="GA45" i="7"/>
  <c r="FZ45" i="7"/>
  <c r="FY45" i="7"/>
  <c r="FX45" i="7"/>
  <c r="FW45" i="7"/>
  <c r="FV45" i="7"/>
  <c r="FU45" i="7"/>
  <c r="FT45" i="7"/>
  <c r="FS45" i="7"/>
  <c r="FR45" i="7"/>
  <c r="FQ45" i="7"/>
  <c r="FP45" i="7"/>
  <c r="FO45" i="7"/>
  <c r="FN45" i="7"/>
  <c r="FM45" i="7"/>
  <c r="FL45" i="7"/>
  <c r="FK45" i="7"/>
  <c r="FJ45" i="7"/>
  <c r="FI45" i="7"/>
  <c r="FH45" i="7"/>
  <c r="FG45" i="7"/>
  <c r="FF45" i="7"/>
  <c r="FE45" i="7"/>
  <c r="FD45" i="7"/>
  <c r="FC45" i="7"/>
  <c r="FB45" i="7"/>
  <c r="FA45" i="7"/>
  <c r="EZ45" i="7"/>
  <c r="EY45" i="7"/>
  <c r="EX45" i="7"/>
  <c r="EW45" i="7"/>
  <c r="EV45" i="7"/>
  <c r="EU45" i="7"/>
  <c r="ET45" i="7"/>
  <c r="ES45" i="7"/>
  <c r="ER45" i="7"/>
  <c r="EQ45" i="7"/>
  <c r="EP45" i="7"/>
  <c r="EO45" i="7"/>
  <c r="EN45" i="7"/>
  <c r="EM45" i="7"/>
  <c r="EL45" i="7"/>
  <c r="EK45" i="7"/>
  <c r="EJ45" i="7"/>
  <c r="EI45" i="7"/>
  <c r="EH45" i="7"/>
  <c r="EG45" i="7"/>
  <c r="EF45" i="7"/>
  <c r="EE45" i="7"/>
  <c r="ED45" i="7"/>
  <c r="EC45" i="7"/>
  <c r="EB45" i="7"/>
  <c r="EA45" i="7"/>
  <c r="DZ45" i="7"/>
  <c r="DY45" i="7"/>
  <c r="DX45" i="7"/>
  <c r="DW45" i="7"/>
  <c r="DV45" i="7"/>
  <c r="DU45" i="7"/>
  <c r="DT45" i="7"/>
  <c r="DS45" i="7"/>
  <c r="DR45" i="7"/>
  <c r="DQ45" i="7"/>
  <c r="DP45" i="7"/>
  <c r="DO45" i="7"/>
  <c r="DN45" i="7"/>
  <c r="DM45" i="7"/>
  <c r="DL45" i="7"/>
  <c r="DK45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45" i="7"/>
  <c r="IV44" i="7"/>
  <c r="IU44" i="7"/>
  <c r="IT44" i="7"/>
  <c r="IS44" i="7"/>
  <c r="IR44" i="7"/>
  <c r="IQ44" i="7"/>
  <c r="IP44" i="7"/>
  <c r="IO44" i="7"/>
  <c r="IN44" i="7"/>
  <c r="IM44" i="7"/>
  <c r="IL44" i="7"/>
  <c r="IK44" i="7"/>
  <c r="IJ44" i="7"/>
  <c r="II44" i="7"/>
  <c r="IH44" i="7"/>
  <c r="IG44" i="7"/>
  <c r="IF44" i="7"/>
  <c r="IE44" i="7"/>
  <c r="ID44" i="7"/>
  <c r="IC44" i="7"/>
  <c r="IB44" i="7"/>
  <c r="IA44" i="7"/>
  <c r="HZ44" i="7"/>
  <c r="HY44" i="7"/>
  <c r="HX44" i="7"/>
  <c r="HW44" i="7"/>
  <c r="HV44" i="7"/>
  <c r="HU44" i="7"/>
  <c r="HT44" i="7"/>
  <c r="HS44" i="7"/>
  <c r="HR44" i="7"/>
  <c r="HQ44" i="7"/>
  <c r="HP44" i="7"/>
  <c r="HO44" i="7"/>
  <c r="HN44" i="7"/>
  <c r="HM44" i="7"/>
  <c r="HL44" i="7"/>
  <c r="HK44" i="7"/>
  <c r="HJ44" i="7"/>
  <c r="HI44" i="7"/>
  <c r="HH44" i="7"/>
  <c r="HG44" i="7"/>
  <c r="HF44" i="7"/>
  <c r="HE44" i="7"/>
  <c r="HD44" i="7"/>
  <c r="HC44" i="7"/>
  <c r="HB44" i="7"/>
  <c r="HA44" i="7"/>
  <c r="GZ44" i="7"/>
  <c r="GY44" i="7"/>
  <c r="GX44" i="7"/>
  <c r="GW44" i="7"/>
  <c r="GV44" i="7"/>
  <c r="GU44" i="7"/>
  <c r="GT44" i="7"/>
  <c r="GS44" i="7"/>
  <c r="GR44" i="7"/>
  <c r="GQ44" i="7"/>
  <c r="GP44" i="7"/>
  <c r="GO44" i="7"/>
  <c r="GN44" i="7"/>
  <c r="GM44" i="7"/>
  <c r="GL44" i="7"/>
  <c r="GK44" i="7"/>
  <c r="GJ44" i="7"/>
  <c r="GI44" i="7"/>
  <c r="GH44" i="7"/>
  <c r="GG44" i="7"/>
  <c r="GF44" i="7"/>
  <c r="GE44" i="7"/>
  <c r="GD44" i="7"/>
  <c r="GC44" i="7"/>
  <c r="GB44" i="7"/>
  <c r="GA44" i="7"/>
  <c r="FZ44" i="7"/>
  <c r="FY44" i="7"/>
  <c r="FX44" i="7"/>
  <c r="FW44" i="7"/>
  <c r="FV44" i="7"/>
  <c r="FU44" i="7"/>
  <c r="FT44" i="7"/>
  <c r="FS44" i="7"/>
  <c r="FR44" i="7"/>
  <c r="FQ44" i="7"/>
  <c r="FP44" i="7"/>
  <c r="FO44" i="7"/>
  <c r="FN44" i="7"/>
  <c r="FM44" i="7"/>
  <c r="FL44" i="7"/>
  <c r="FK44" i="7"/>
  <c r="FJ44" i="7"/>
  <c r="FI44" i="7"/>
  <c r="FH44" i="7"/>
  <c r="FG44" i="7"/>
  <c r="FF44" i="7"/>
  <c r="FE44" i="7"/>
  <c r="FD44" i="7"/>
  <c r="FC44" i="7"/>
  <c r="FB44" i="7"/>
  <c r="FA44" i="7"/>
  <c r="EZ44" i="7"/>
  <c r="EY44" i="7"/>
  <c r="EX44" i="7"/>
  <c r="EW44" i="7"/>
  <c r="EV44" i="7"/>
  <c r="EU44" i="7"/>
  <c r="ET44" i="7"/>
  <c r="ES44" i="7"/>
  <c r="ER44" i="7"/>
  <c r="EQ44" i="7"/>
  <c r="EP44" i="7"/>
  <c r="EO44" i="7"/>
  <c r="EN44" i="7"/>
  <c r="EM44" i="7"/>
  <c r="EL44" i="7"/>
  <c r="EK44" i="7"/>
  <c r="EJ44" i="7"/>
  <c r="EI44" i="7"/>
  <c r="EH44" i="7"/>
  <c r="EG44" i="7"/>
  <c r="EF44" i="7"/>
  <c r="EE44" i="7"/>
  <c r="ED44" i="7"/>
  <c r="EC44" i="7"/>
  <c r="EB44" i="7"/>
  <c r="EA44" i="7"/>
  <c r="DZ44" i="7"/>
  <c r="DY44" i="7"/>
  <c r="DX44" i="7"/>
  <c r="DW44" i="7"/>
  <c r="DV44" i="7"/>
  <c r="DU44" i="7"/>
  <c r="DT44" i="7"/>
  <c r="DS44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44" i="7"/>
  <c r="IV43" i="7"/>
  <c r="IU43" i="7"/>
  <c r="IT43" i="7"/>
  <c r="IS43" i="7"/>
  <c r="IR43" i="7"/>
  <c r="IQ43" i="7"/>
  <c r="IP43" i="7"/>
  <c r="IO43" i="7"/>
  <c r="IN43" i="7"/>
  <c r="IM43" i="7"/>
  <c r="IL43" i="7"/>
  <c r="IK43" i="7"/>
  <c r="IJ43" i="7"/>
  <c r="II43" i="7"/>
  <c r="IH43" i="7"/>
  <c r="IG43" i="7"/>
  <c r="IF43" i="7"/>
  <c r="IE43" i="7"/>
  <c r="ID43" i="7"/>
  <c r="IC43" i="7"/>
  <c r="IB43" i="7"/>
  <c r="IA43" i="7"/>
  <c r="HZ43" i="7"/>
  <c r="HY43" i="7"/>
  <c r="HX43" i="7"/>
  <c r="HW43" i="7"/>
  <c r="HV43" i="7"/>
  <c r="HU43" i="7"/>
  <c r="HT43" i="7"/>
  <c r="HS43" i="7"/>
  <c r="HR43" i="7"/>
  <c r="HQ43" i="7"/>
  <c r="HP43" i="7"/>
  <c r="HO43" i="7"/>
  <c r="HN43" i="7"/>
  <c r="HM43" i="7"/>
  <c r="HL43" i="7"/>
  <c r="HK43" i="7"/>
  <c r="HJ43" i="7"/>
  <c r="HI43" i="7"/>
  <c r="HH43" i="7"/>
  <c r="HG43" i="7"/>
  <c r="HF43" i="7"/>
  <c r="HE43" i="7"/>
  <c r="HD43" i="7"/>
  <c r="HC43" i="7"/>
  <c r="HB43" i="7"/>
  <c r="HA43" i="7"/>
  <c r="GZ43" i="7"/>
  <c r="GY43" i="7"/>
  <c r="GX43" i="7"/>
  <c r="GW43" i="7"/>
  <c r="GV43" i="7"/>
  <c r="GU43" i="7"/>
  <c r="GT43" i="7"/>
  <c r="GS43" i="7"/>
  <c r="GR43" i="7"/>
  <c r="GQ43" i="7"/>
  <c r="GP43" i="7"/>
  <c r="GO43" i="7"/>
  <c r="GN43" i="7"/>
  <c r="GM43" i="7"/>
  <c r="GL43" i="7"/>
  <c r="GK43" i="7"/>
  <c r="GJ43" i="7"/>
  <c r="GI43" i="7"/>
  <c r="GH43" i="7"/>
  <c r="GG43" i="7"/>
  <c r="GF43" i="7"/>
  <c r="GE43" i="7"/>
  <c r="GD43" i="7"/>
  <c r="GC43" i="7"/>
  <c r="GB43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FO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B43" i="7"/>
  <c r="FA43" i="7"/>
  <c r="EZ43" i="7"/>
  <c r="EY43" i="7"/>
  <c r="EX43" i="7"/>
  <c r="EW43" i="7"/>
  <c r="EV43" i="7"/>
  <c r="EU43" i="7"/>
  <c r="ET43" i="7"/>
  <c r="ES43" i="7"/>
  <c r="ER43" i="7"/>
  <c r="EQ43" i="7"/>
  <c r="EP43" i="7"/>
  <c r="EO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B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43" i="7"/>
  <c r="IV42" i="7"/>
  <c r="IU42" i="7"/>
  <c r="IT42" i="7"/>
  <c r="IS42" i="7"/>
  <c r="IR42" i="7"/>
  <c r="IQ42" i="7"/>
  <c r="IP42" i="7"/>
  <c r="IO42" i="7"/>
  <c r="IN42" i="7"/>
  <c r="IM42" i="7"/>
  <c r="IL42" i="7"/>
  <c r="IK42" i="7"/>
  <c r="IJ42" i="7"/>
  <c r="II42" i="7"/>
  <c r="IH42" i="7"/>
  <c r="IG42" i="7"/>
  <c r="IF42" i="7"/>
  <c r="IE42" i="7"/>
  <c r="ID42" i="7"/>
  <c r="IC42" i="7"/>
  <c r="IB42" i="7"/>
  <c r="IA42" i="7"/>
  <c r="HZ42" i="7"/>
  <c r="HY42" i="7"/>
  <c r="HX42" i="7"/>
  <c r="HW42" i="7"/>
  <c r="HV42" i="7"/>
  <c r="HU42" i="7"/>
  <c r="HT42" i="7"/>
  <c r="HS42" i="7"/>
  <c r="HR42" i="7"/>
  <c r="HQ42" i="7"/>
  <c r="HP42" i="7"/>
  <c r="HO42" i="7"/>
  <c r="HN42" i="7"/>
  <c r="HM42" i="7"/>
  <c r="HL42" i="7"/>
  <c r="HK42" i="7"/>
  <c r="HJ42" i="7"/>
  <c r="HI42" i="7"/>
  <c r="HH42" i="7"/>
  <c r="HG42" i="7"/>
  <c r="HF42" i="7"/>
  <c r="HE42" i="7"/>
  <c r="HD42" i="7"/>
  <c r="HC42" i="7"/>
  <c r="HB42" i="7"/>
  <c r="HA42" i="7"/>
  <c r="GZ42" i="7"/>
  <c r="GY42" i="7"/>
  <c r="GX42" i="7"/>
  <c r="GW42" i="7"/>
  <c r="GV42" i="7"/>
  <c r="GU42" i="7"/>
  <c r="GT42" i="7"/>
  <c r="GS42" i="7"/>
  <c r="GR42" i="7"/>
  <c r="GQ42" i="7"/>
  <c r="GP42" i="7"/>
  <c r="GO42" i="7"/>
  <c r="GN42" i="7"/>
  <c r="GM42" i="7"/>
  <c r="GL42" i="7"/>
  <c r="GK42" i="7"/>
  <c r="GJ42" i="7"/>
  <c r="GI42" i="7"/>
  <c r="GH42" i="7"/>
  <c r="GG42" i="7"/>
  <c r="GF42" i="7"/>
  <c r="GE42" i="7"/>
  <c r="GD42" i="7"/>
  <c r="GC42" i="7"/>
  <c r="GB42" i="7"/>
  <c r="GA42" i="7"/>
  <c r="FZ42" i="7"/>
  <c r="FY42" i="7"/>
  <c r="FX42" i="7"/>
  <c r="FW42" i="7"/>
  <c r="FV42" i="7"/>
  <c r="FU42" i="7"/>
  <c r="FT42" i="7"/>
  <c r="FS42" i="7"/>
  <c r="FR42" i="7"/>
  <c r="FQ42" i="7"/>
  <c r="FP42" i="7"/>
  <c r="FO42" i="7"/>
  <c r="FN42" i="7"/>
  <c r="FM42" i="7"/>
  <c r="FL42" i="7"/>
  <c r="FK42" i="7"/>
  <c r="FJ42" i="7"/>
  <c r="FI42" i="7"/>
  <c r="FH42" i="7"/>
  <c r="FG42" i="7"/>
  <c r="FF42" i="7"/>
  <c r="FE42" i="7"/>
  <c r="FD42" i="7"/>
  <c r="FC42" i="7"/>
  <c r="FB42" i="7"/>
  <c r="FA42" i="7"/>
  <c r="EZ42" i="7"/>
  <c r="EY42" i="7"/>
  <c r="EX42" i="7"/>
  <c r="EW42" i="7"/>
  <c r="EV42" i="7"/>
  <c r="EU42" i="7"/>
  <c r="ET42" i="7"/>
  <c r="ES42" i="7"/>
  <c r="ER42" i="7"/>
  <c r="EQ42" i="7"/>
  <c r="EP42" i="7"/>
  <c r="EO42" i="7"/>
  <c r="EN42" i="7"/>
  <c r="EM42" i="7"/>
  <c r="EL42" i="7"/>
  <c r="EK42" i="7"/>
  <c r="EJ42" i="7"/>
  <c r="EI42" i="7"/>
  <c r="EH42" i="7"/>
  <c r="EG42" i="7"/>
  <c r="EF42" i="7"/>
  <c r="EE42" i="7"/>
  <c r="ED42" i="7"/>
  <c r="EC42" i="7"/>
  <c r="EB42" i="7"/>
  <c r="EA42" i="7"/>
  <c r="DZ42" i="7"/>
  <c r="DY42" i="7"/>
  <c r="DX42" i="7"/>
  <c r="DW42" i="7"/>
  <c r="DV42" i="7"/>
  <c r="DU42" i="7"/>
  <c r="DT42" i="7"/>
  <c r="DS42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42" i="7"/>
  <c r="IV41" i="7"/>
  <c r="IU41" i="7"/>
  <c r="IT41" i="7"/>
  <c r="IS41" i="7"/>
  <c r="IR41" i="7"/>
  <c r="IQ41" i="7"/>
  <c r="IP41" i="7"/>
  <c r="IO41" i="7"/>
  <c r="IN41" i="7"/>
  <c r="IM41" i="7"/>
  <c r="IL41" i="7"/>
  <c r="IK41" i="7"/>
  <c r="IJ41" i="7"/>
  <c r="II41" i="7"/>
  <c r="IH41" i="7"/>
  <c r="IG41" i="7"/>
  <c r="IF41" i="7"/>
  <c r="IE41" i="7"/>
  <c r="ID41" i="7"/>
  <c r="IC41" i="7"/>
  <c r="IB41" i="7"/>
  <c r="IA41" i="7"/>
  <c r="HZ41" i="7"/>
  <c r="HY41" i="7"/>
  <c r="HX41" i="7"/>
  <c r="HW41" i="7"/>
  <c r="HV41" i="7"/>
  <c r="HU41" i="7"/>
  <c r="HT41" i="7"/>
  <c r="HS41" i="7"/>
  <c r="HR41" i="7"/>
  <c r="HQ41" i="7"/>
  <c r="HP41" i="7"/>
  <c r="HO41" i="7"/>
  <c r="HN41" i="7"/>
  <c r="HM41" i="7"/>
  <c r="HL41" i="7"/>
  <c r="HK41" i="7"/>
  <c r="HJ41" i="7"/>
  <c r="HI41" i="7"/>
  <c r="HH41" i="7"/>
  <c r="HG41" i="7"/>
  <c r="HF41" i="7"/>
  <c r="HE41" i="7"/>
  <c r="HD41" i="7"/>
  <c r="HC41" i="7"/>
  <c r="HB41" i="7"/>
  <c r="HA41" i="7"/>
  <c r="GZ41" i="7"/>
  <c r="GY41" i="7"/>
  <c r="GX41" i="7"/>
  <c r="GW41" i="7"/>
  <c r="GV41" i="7"/>
  <c r="GU41" i="7"/>
  <c r="GT41" i="7"/>
  <c r="GS41" i="7"/>
  <c r="GR41" i="7"/>
  <c r="GQ41" i="7"/>
  <c r="GP41" i="7"/>
  <c r="GO41" i="7"/>
  <c r="GN41" i="7"/>
  <c r="GM41" i="7"/>
  <c r="GL41" i="7"/>
  <c r="GK41" i="7"/>
  <c r="GJ41" i="7"/>
  <c r="GI41" i="7"/>
  <c r="GH41" i="7"/>
  <c r="GG41" i="7"/>
  <c r="GF41" i="7"/>
  <c r="GE41" i="7"/>
  <c r="GD41" i="7"/>
  <c r="GC41" i="7"/>
  <c r="GB41" i="7"/>
  <c r="GA41" i="7"/>
  <c r="FZ41" i="7"/>
  <c r="FY41" i="7"/>
  <c r="FX41" i="7"/>
  <c r="FW41" i="7"/>
  <c r="FV41" i="7"/>
  <c r="FU41" i="7"/>
  <c r="FT41" i="7"/>
  <c r="FS41" i="7"/>
  <c r="FR41" i="7"/>
  <c r="FQ41" i="7"/>
  <c r="FP41" i="7"/>
  <c r="FO41" i="7"/>
  <c r="FN41" i="7"/>
  <c r="FM41" i="7"/>
  <c r="FL41" i="7"/>
  <c r="FK41" i="7"/>
  <c r="FJ41" i="7"/>
  <c r="FI41" i="7"/>
  <c r="FH41" i="7"/>
  <c r="FG41" i="7"/>
  <c r="FF41" i="7"/>
  <c r="FE41" i="7"/>
  <c r="FD41" i="7"/>
  <c r="FC41" i="7"/>
  <c r="FB41" i="7"/>
  <c r="FA41" i="7"/>
  <c r="EZ41" i="7"/>
  <c r="EY41" i="7"/>
  <c r="EX41" i="7"/>
  <c r="EW41" i="7"/>
  <c r="EV41" i="7"/>
  <c r="EU41" i="7"/>
  <c r="ET41" i="7"/>
  <c r="ES41" i="7"/>
  <c r="ER41" i="7"/>
  <c r="EQ41" i="7"/>
  <c r="EP41" i="7"/>
  <c r="EO41" i="7"/>
  <c r="EN41" i="7"/>
  <c r="EM41" i="7"/>
  <c r="EL41" i="7"/>
  <c r="EK41" i="7"/>
  <c r="EJ41" i="7"/>
  <c r="EI41" i="7"/>
  <c r="EH41" i="7"/>
  <c r="EG41" i="7"/>
  <c r="EF41" i="7"/>
  <c r="EE41" i="7"/>
  <c r="ED41" i="7"/>
  <c r="EC41" i="7"/>
  <c r="EB41" i="7"/>
  <c r="EA41" i="7"/>
  <c r="DZ41" i="7"/>
  <c r="DY41" i="7"/>
  <c r="DX41" i="7"/>
  <c r="DW41" i="7"/>
  <c r="DV41" i="7"/>
  <c r="DU41" i="7"/>
  <c r="DT41" i="7"/>
  <c r="DS41" i="7"/>
  <c r="DR41" i="7"/>
  <c r="DQ41" i="7"/>
  <c r="DP41" i="7"/>
  <c r="DO41" i="7"/>
  <c r="DN41" i="7"/>
  <c r="DM41" i="7"/>
  <c r="DL41" i="7"/>
  <c r="DK41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41" i="7"/>
  <c r="IV40" i="7"/>
  <c r="IU40" i="7"/>
  <c r="IT40" i="7"/>
  <c r="IS40" i="7"/>
  <c r="IR40" i="7"/>
  <c r="IQ40" i="7"/>
  <c r="IP40" i="7"/>
  <c r="IO40" i="7"/>
  <c r="IN40" i="7"/>
  <c r="IM40" i="7"/>
  <c r="IL40" i="7"/>
  <c r="IK40" i="7"/>
  <c r="IJ40" i="7"/>
  <c r="II40" i="7"/>
  <c r="IH40" i="7"/>
  <c r="IG40" i="7"/>
  <c r="IF40" i="7"/>
  <c r="IE40" i="7"/>
  <c r="ID40" i="7"/>
  <c r="IC40" i="7"/>
  <c r="IB40" i="7"/>
  <c r="IA40" i="7"/>
  <c r="HZ40" i="7"/>
  <c r="HY40" i="7"/>
  <c r="HX40" i="7"/>
  <c r="HW40" i="7"/>
  <c r="HV40" i="7"/>
  <c r="HU40" i="7"/>
  <c r="HT40" i="7"/>
  <c r="HS40" i="7"/>
  <c r="HR40" i="7"/>
  <c r="HQ40" i="7"/>
  <c r="HP40" i="7"/>
  <c r="HO40" i="7"/>
  <c r="HN40" i="7"/>
  <c r="HM40" i="7"/>
  <c r="HL40" i="7"/>
  <c r="HK40" i="7"/>
  <c r="HJ40" i="7"/>
  <c r="HI40" i="7"/>
  <c r="HH40" i="7"/>
  <c r="HG40" i="7"/>
  <c r="HF40" i="7"/>
  <c r="HE40" i="7"/>
  <c r="HD40" i="7"/>
  <c r="HC40" i="7"/>
  <c r="HB40" i="7"/>
  <c r="HA40" i="7"/>
  <c r="GZ40" i="7"/>
  <c r="GY40" i="7"/>
  <c r="GX40" i="7"/>
  <c r="GW40" i="7"/>
  <c r="GV40" i="7"/>
  <c r="GU40" i="7"/>
  <c r="GT40" i="7"/>
  <c r="GS40" i="7"/>
  <c r="GR40" i="7"/>
  <c r="GQ40" i="7"/>
  <c r="GP40" i="7"/>
  <c r="GO40" i="7"/>
  <c r="GN40" i="7"/>
  <c r="GM40" i="7"/>
  <c r="GL40" i="7"/>
  <c r="GK40" i="7"/>
  <c r="GJ40" i="7"/>
  <c r="GI40" i="7"/>
  <c r="GH40" i="7"/>
  <c r="GG40" i="7"/>
  <c r="GF40" i="7"/>
  <c r="GE40" i="7"/>
  <c r="GD40" i="7"/>
  <c r="GC40" i="7"/>
  <c r="GB40" i="7"/>
  <c r="GA40" i="7"/>
  <c r="FZ40" i="7"/>
  <c r="FY40" i="7"/>
  <c r="FX40" i="7"/>
  <c r="FW40" i="7"/>
  <c r="FV40" i="7"/>
  <c r="FU40" i="7"/>
  <c r="FT40" i="7"/>
  <c r="FS40" i="7"/>
  <c r="FR40" i="7"/>
  <c r="FQ40" i="7"/>
  <c r="FP40" i="7"/>
  <c r="FO40" i="7"/>
  <c r="FN40" i="7"/>
  <c r="FM40" i="7"/>
  <c r="FL40" i="7"/>
  <c r="FK40" i="7"/>
  <c r="FJ40" i="7"/>
  <c r="FI40" i="7"/>
  <c r="FH40" i="7"/>
  <c r="FG40" i="7"/>
  <c r="FF40" i="7"/>
  <c r="FE40" i="7"/>
  <c r="FD40" i="7"/>
  <c r="FC40" i="7"/>
  <c r="FB40" i="7"/>
  <c r="FA40" i="7"/>
  <c r="EZ40" i="7"/>
  <c r="EY40" i="7"/>
  <c r="EX40" i="7"/>
  <c r="EW40" i="7"/>
  <c r="EV40" i="7"/>
  <c r="EU40" i="7"/>
  <c r="ET40" i="7"/>
  <c r="ES40" i="7"/>
  <c r="ER40" i="7"/>
  <c r="EQ40" i="7"/>
  <c r="EP40" i="7"/>
  <c r="EO40" i="7"/>
  <c r="EN40" i="7"/>
  <c r="EM40" i="7"/>
  <c r="EL40" i="7"/>
  <c r="EK40" i="7"/>
  <c r="EJ40" i="7"/>
  <c r="EI40" i="7"/>
  <c r="EH40" i="7"/>
  <c r="EG40" i="7"/>
  <c r="EF40" i="7"/>
  <c r="EE40" i="7"/>
  <c r="ED40" i="7"/>
  <c r="EC40" i="7"/>
  <c r="EB40" i="7"/>
  <c r="EA40" i="7"/>
  <c r="DZ40" i="7"/>
  <c r="DY40" i="7"/>
  <c r="DX40" i="7"/>
  <c r="DW40" i="7"/>
  <c r="DV40" i="7"/>
  <c r="DU40" i="7"/>
  <c r="DT40" i="7"/>
  <c r="DS40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40" i="7"/>
  <c r="IV39" i="7"/>
  <c r="IU39" i="7"/>
  <c r="IT39" i="7"/>
  <c r="IS39" i="7"/>
  <c r="IR39" i="7"/>
  <c r="IQ39" i="7"/>
  <c r="IP39" i="7"/>
  <c r="IO39" i="7"/>
  <c r="IN39" i="7"/>
  <c r="IM39" i="7"/>
  <c r="IL39" i="7"/>
  <c r="IK39" i="7"/>
  <c r="IJ39" i="7"/>
  <c r="II39" i="7"/>
  <c r="IH39" i="7"/>
  <c r="IG39" i="7"/>
  <c r="IF39" i="7"/>
  <c r="IE39" i="7"/>
  <c r="ID39" i="7"/>
  <c r="IC39" i="7"/>
  <c r="IB39" i="7"/>
  <c r="IA39" i="7"/>
  <c r="HZ39" i="7"/>
  <c r="HY39" i="7"/>
  <c r="HX39" i="7"/>
  <c r="HW39" i="7"/>
  <c r="HV39" i="7"/>
  <c r="HU39" i="7"/>
  <c r="HT39" i="7"/>
  <c r="HS39" i="7"/>
  <c r="HR39" i="7"/>
  <c r="HQ39" i="7"/>
  <c r="HP39" i="7"/>
  <c r="HO39" i="7"/>
  <c r="HN39" i="7"/>
  <c r="HM39" i="7"/>
  <c r="HL39" i="7"/>
  <c r="HK39" i="7"/>
  <c r="HJ39" i="7"/>
  <c r="HI39" i="7"/>
  <c r="HH39" i="7"/>
  <c r="HG39" i="7"/>
  <c r="HF39" i="7"/>
  <c r="HE39" i="7"/>
  <c r="HD39" i="7"/>
  <c r="HC39" i="7"/>
  <c r="HB39" i="7"/>
  <c r="HA39" i="7"/>
  <c r="GZ39" i="7"/>
  <c r="GY39" i="7"/>
  <c r="GX39" i="7"/>
  <c r="GW39" i="7"/>
  <c r="GV39" i="7"/>
  <c r="GU39" i="7"/>
  <c r="GT39" i="7"/>
  <c r="GS39" i="7"/>
  <c r="GR39" i="7"/>
  <c r="GQ39" i="7"/>
  <c r="GP39" i="7"/>
  <c r="GO39" i="7"/>
  <c r="GN39" i="7"/>
  <c r="GM39" i="7"/>
  <c r="GL39" i="7"/>
  <c r="GK39" i="7"/>
  <c r="GJ39" i="7"/>
  <c r="GI39" i="7"/>
  <c r="GH39" i="7"/>
  <c r="GG39" i="7"/>
  <c r="GF39" i="7"/>
  <c r="GE39" i="7"/>
  <c r="GD39" i="7"/>
  <c r="GC39" i="7"/>
  <c r="GB39" i="7"/>
  <c r="GA39" i="7"/>
  <c r="FZ39" i="7"/>
  <c r="FY39" i="7"/>
  <c r="FX39" i="7"/>
  <c r="FW39" i="7"/>
  <c r="FV39" i="7"/>
  <c r="FU39" i="7"/>
  <c r="FT39" i="7"/>
  <c r="FS39" i="7"/>
  <c r="FR39" i="7"/>
  <c r="FQ39" i="7"/>
  <c r="FP39" i="7"/>
  <c r="FO39" i="7"/>
  <c r="FN39" i="7"/>
  <c r="FM39" i="7"/>
  <c r="FL39" i="7"/>
  <c r="FK39" i="7"/>
  <c r="FJ39" i="7"/>
  <c r="FI39" i="7"/>
  <c r="FH39" i="7"/>
  <c r="FG39" i="7"/>
  <c r="FF39" i="7"/>
  <c r="FE39" i="7"/>
  <c r="FD39" i="7"/>
  <c r="FC39" i="7"/>
  <c r="FB39" i="7"/>
  <c r="FA39" i="7"/>
  <c r="EZ39" i="7"/>
  <c r="EY39" i="7"/>
  <c r="EX39" i="7"/>
  <c r="EW39" i="7"/>
  <c r="EV39" i="7"/>
  <c r="EU39" i="7"/>
  <c r="ET39" i="7"/>
  <c r="ES39" i="7"/>
  <c r="ER39" i="7"/>
  <c r="EQ39" i="7"/>
  <c r="EP39" i="7"/>
  <c r="EO39" i="7"/>
  <c r="EN39" i="7"/>
  <c r="EM39" i="7"/>
  <c r="EL39" i="7"/>
  <c r="EK39" i="7"/>
  <c r="EJ39" i="7"/>
  <c r="EI39" i="7"/>
  <c r="EH39" i="7"/>
  <c r="EG39" i="7"/>
  <c r="EF39" i="7"/>
  <c r="EE39" i="7"/>
  <c r="ED39" i="7"/>
  <c r="EC39" i="7"/>
  <c r="EB39" i="7"/>
  <c r="EA39" i="7"/>
  <c r="DZ39" i="7"/>
  <c r="DY39" i="7"/>
  <c r="DX39" i="7"/>
  <c r="DW39" i="7"/>
  <c r="DV39" i="7"/>
  <c r="DU39" i="7"/>
  <c r="DT39" i="7"/>
  <c r="DS39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39" i="7"/>
  <c r="IV38" i="7"/>
  <c r="IU38" i="7"/>
  <c r="IT38" i="7"/>
  <c r="IS38" i="7"/>
  <c r="IR38" i="7"/>
  <c r="IQ38" i="7"/>
  <c r="IP38" i="7"/>
  <c r="IO38" i="7"/>
  <c r="IN38" i="7"/>
  <c r="IM38" i="7"/>
  <c r="IL38" i="7"/>
  <c r="IK38" i="7"/>
  <c r="IJ38" i="7"/>
  <c r="II38" i="7"/>
  <c r="IH38" i="7"/>
  <c r="IG38" i="7"/>
  <c r="IF38" i="7"/>
  <c r="IE38" i="7"/>
  <c r="ID38" i="7"/>
  <c r="IC38" i="7"/>
  <c r="IB38" i="7"/>
  <c r="IA38" i="7"/>
  <c r="HZ38" i="7"/>
  <c r="HY38" i="7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EL38" i="7"/>
  <c r="EK38" i="7"/>
  <c r="EJ38" i="7"/>
  <c r="EI38" i="7"/>
  <c r="EH38" i="7"/>
  <c r="EG38" i="7"/>
  <c r="EF38" i="7"/>
  <c r="EE38" i="7"/>
  <c r="ED38" i="7"/>
  <c r="EC38" i="7"/>
  <c r="EB38" i="7"/>
  <c r="EA38" i="7"/>
  <c r="DZ38" i="7"/>
  <c r="DY38" i="7"/>
  <c r="DX38" i="7"/>
  <c r="DW38" i="7"/>
  <c r="DV38" i="7"/>
  <c r="DU38" i="7"/>
  <c r="DT38" i="7"/>
  <c r="DS38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38" i="7"/>
  <c r="IV37" i="7"/>
  <c r="IU37" i="7"/>
  <c r="IT37" i="7"/>
  <c r="IS37" i="7"/>
  <c r="IR37" i="7"/>
  <c r="IQ37" i="7"/>
  <c r="IP37" i="7"/>
  <c r="IO37" i="7"/>
  <c r="IN37" i="7"/>
  <c r="IM37" i="7"/>
  <c r="IL37" i="7"/>
  <c r="IK37" i="7"/>
  <c r="IJ37" i="7"/>
  <c r="II37" i="7"/>
  <c r="IH37" i="7"/>
  <c r="IG37" i="7"/>
  <c r="IF37" i="7"/>
  <c r="IE37" i="7"/>
  <c r="ID37" i="7"/>
  <c r="IC37" i="7"/>
  <c r="IB37" i="7"/>
  <c r="IA37" i="7"/>
  <c r="HZ37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37" i="7"/>
  <c r="IV36" i="7"/>
  <c r="IU36" i="7"/>
  <c r="IT36" i="7"/>
  <c r="IS36" i="7"/>
  <c r="IR36" i="7"/>
  <c r="IQ36" i="7"/>
  <c r="IP36" i="7"/>
  <c r="IO36" i="7"/>
  <c r="IN36" i="7"/>
  <c r="IM36" i="7"/>
  <c r="IL36" i="7"/>
  <c r="IK36" i="7"/>
  <c r="IJ36" i="7"/>
  <c r="II36" i="7"/>
  <c r="IH36" i="7"/>
  <c r="IG36" i="7"/>
  <c r="IF36" i="7"/>
  <c r="IE36" i="7"/>
  <c r="ID36" i="7"/>
  <c r="IC36" i="7"/>
  <c r="IB36" i="7"/>
  <c r="IA36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36" i="7"/>
  <c r="IV35" i="7"/>
  <c r="IU35" i="7"/>
  <c r="IT35" i="7"/>
  <c r="IS35" i="7"/>
  <c r="IR35" i="7"/>
  <c r="IQ35" i="7"/>
  <c r="IP35" i="7"/>
  <c r="IO35" i="7"/>
  <c r="IN35" i="7"/>
  <c r="IM35" i="7"/>
  <c r="IL35" i="7"/>
  <c r="IK35" i="7"/>
  <c r="IJ35" i="7"/>
  <c r="II35" i="7"/>
  <c r="IH35" i="7"/>
  <c r="IG35" i="7"/>
  <c r="IF35" i="7"/>
  <c r="IE35" i="7"/>
  <c r="ID35" i="7"/>
  <c r="IC35" i="7"/>
  <c r="IB35" i="7"/>
  <c r="IA35" i="7"/>
  <c r="HZ35" i="7"/>
  <c r="HY35" i="7"/>
  <c r="HX35" i="7"/>
  <c r="HW35" i="7"/>
  <c r="HV35" i="7"/>
  <c r="HU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35" i="7"/>
  <c r="IV34" i="7"/>
  <c r="IU34" i="7"/>
  <c r="IT34" i="7"/>
  <c r="IS34" i="7"/>
  <c r="IR34" i="7"/>
  <c r="IQ34" i="7"/>
  <c r="IP34" i="7"/>
  <c r="IO34" i="7"/>
  <c r="IN34" i="7"/>
  <c r="IM34" i="7"/>
  <c r="IL34" i="7"/>
  <c r="IK34" i="7"/>
  <c r="IJ34" i="7"/>
  <c r="II34" i="7"/>
  <c r="IH34" i="7"/>
  <c r="IG34" i="7"/>
  <c r="IF34" i="7"/>
  <c r="IE34" i="7"/>
  <c r="ID34" i="7"/>
  <c r="IC34" i="7"/>
  <c r="IB34" i="7"/>
  <c r="IA34" i="7"/>
  <c r="HZ34" i="7"/>
  <c r="HY34" i="7"/>
  <c r="HX34" i="7"/>
  <c r="HW34" i="7"/>
  <c r="HV34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34" i="7"/>
  <c r="IV33" i="7"/>
  <c r="IU33" i="7"/>
  <c r="IT33" i="7"/>
  <c r="IS33" i="7"/>
  <c r="IR33" i="7"/>
  <c r="IQ33" i="7"/>
  <c r="IP33" i="7"/>
  <c r="IO33" i="7"/>
  <c r="IN33" i="7"/>
  <c r="IM33" i="7"/>
  <c r="IL33" i="7"/>
  <c r="IK33" i="7"/>
  <c r="IJ33" i="7"/>
  <c r="II33" i="7"/>
  <c r="IH33" i="7"/>
  <c r="IG33" i="7"/>
  <c r="IF33" i="7"/>
  <c r="IE33" i="7"/>
  <c r="ID33" i="7"/>
  <c r="IC33" i="7"/>
  <c r="IB33" i="7"/>
  <c r="IA33" i="7"/>
  <c r="HZ33" i="7"/>
  <c r="HY33" i="7"/>
  <c r="HX33" i="7"/>
  <c r="HW33" i="7"/>
  <c r="HV33" i="7"/>
  <c r="HU33" i="7"/>
  <c r="HT33" i="7"/>
  <c r="HS33" i="7"/>
  <c r="HR33" i="7"/>
  <c r="HQ33" i="7"/>
  <c r="HP33" i="7"/>
  <c r="HO33" i="7"/>
  <c r="HN33" i="7"/>
  <c r="HM33" i="7"/>
  <c r="HL33" i="7"/>
  <c r="HK33" i="7"/>
  <c r="HJ33" i="7"/>
  <c r="HI33" i="7"/>
  <c r="HH33" i="7"/>
  <c r="HG33" i="7"/>
  <c r="HF33" i="7"/>
  <c r="HE33" i="7"/>
  <c r="HD33" i="7"/>
  <c r="HC33" i="7"/>
  <c r="HB33" i="7"/>
  <c r="HA33" i="7"/>
  <c r="GZ33" i="7"/>
  <c r="GY33" i="7"/>
  <c r="GX33" i="7"/>
  <c r="GW33" i="7"/>
  <c r="GV33" i="7"/>
  <c r="GU33" i="7"/>
  <c r="GT33" i="7"/>
  <c r="GS33" i="7"/>
  <c r="GR33" i="7"/>
  <c r="GQ33" i="7"/>
  <c r="GP33" i="7"/>
  <c r="GO33" i="7"/>
  <c r="GN33" i="7"/>
  <c r="GM33" i="7"/>
  <c r="GL33" i="7"/>
  <c r="GK33" i="7"/>
  <c r="GJ33" i="7"/>
  <c r="GI33" i="7"/>
  <c r="GH33" i="7"/>
  <c r="GG33" i="7"/>
  <c r="GF33" i="7"/>
  <c r="GE33" i="7"/>
  <c r="GD33" i="7"/>
  <c r="GC33" i="7"/>
  <c r="GB33" i="7"/>
  <c r="GA33" i="7"/>
  <c r="FZ33" i="7"/>
  <c r="FY33" i="7"/>
  <c r="FX33" i="7"/>
  <c r="FW33" i="7"/>
  <c r="FV33" i="7"/>
  <c r="FU33" i="7"/>
  <c r="FT33" i="7"/>
  <c r="FS33" i="7"/>
  <c r="FR33" i="7"/>
  <c r="FQ33" i="7"/>
  <c r="FP33" i="7"/>
  <c r="FO33" i="7"/>
  <c r="FN33" i="7"/>
  <c r="FM33" i="7"/>
  <c r="FL33" i="7"/>
  <c r="FK33" i="7"/>
  <c r="FJ33" i="7"/>
  <c r="FI33" i="7"/>
  <c r="FH33" i="7"/>
  <c r="FG33" i="7"/>
  <c r="FF33" i="7"/>
  <c r="FE33" i="7"/>
  <c r="FD33" i="7"/>
  <c r="FC33" i="7"/>
  <c r="FB33" i="7"/>
  <c r="FA33" i="7"/>
  <c r="EZ33" i="7"/>
  <c r="EY33" i="7"/>
  <c r="EX33" i="7"/>
  <c r="EW33" i="7"/>
  <c r="EV33" i="7"/>
  <c r="EU33" i="7"/>
  <c r="ET33" i="7"/>
  <c r="ES33" i="7"/>
  <c r="ER33" i="7"/>
  <c r="EQ33" i="7"/>
  <c r="EP33" i="7"/>
  <c r="EO33" i="7"/>
  <c r="EN33" i="7"/>
  <c r="EM33" i="7"/>
  <c r="EL33" i="7"/>
  <c r="EK33" i="7"/>
  <c r="EJ33" i="7"/>
  <c r="EI33" i="7"/>
  <c r="EH33" i="7"/>
  <c r="EG33" i="7"/>
  <c r="EF33" i="7"/>
  <c r="EE33" i="7"/>
  <c r="ED33" i="7"/>
  <c r="EC33" i="7"/>
  <c r="EB33" i="7"/>
  <c r="EA33" i="7"/>
  <c r="DZ33" i="7"/>
  <c r="DY33" i="7"/>
  <c r="DX33" i="7"/>
  <c r="DW33" i="7"/>
  <c r="DV33" i="7"/>
  <c r="DU33" i="7"/>
  <c r="DT33" i="7"/>
  <c r="DS33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33" i="7"/>
  <c r="IV32" i="7"/>
  <c r="IU32" i="7"/>
  <c r="IT32" i="7"/>
  <c r="IS32" i="7"/>
  <c r="IR32" i="7"/>
  <c r="IQ32" i="7"/>
  <c r="IP32" i="7"/>
  <c r="IO32" i="7"/>
  <c r="IN32" i="7"/>
  <c r="IM32" i="7"/>
  <c r="IL32" i="7"/>
  <c r="IK32" i="7"/>
  <c r="IJ32" i="7"/>
  <c r="II32" i="7"/>
  <c r="IH32" i="7"/>
  <c r="IG32" i="7"/>
  <c r="IF32" i="7"/>
  <c r="IE32" i="7"/>
  <c r="ID32" i="7"/>
  <c r="IC32" i="7"/>
  <c r="IB32" i="7"/>
  <c r="IA32" i="7"/>
  <c r="HZ32" i="7"/>
  <c r="HY32" i="7"/>
  <c r="HX32" i="7"/>
  <c r="HW32" i="7"/>
  <c r="HV32" i="7"/>
  <c r="HU32" i="7"/>
  <c r="HT32" i="7"/>
  <c r="HS32" i="7"/>
  <c r="HR32" i="7"/>
  <c r="HQ32" i="7"/>
  <c r="HP32" i="7"/>
  <c r="HO32" i="7"/>
  <c r="HN32" i="7"/>
  <c r="HM32" i="7"/>
  <c r="HL32" i="7"/>
  <c r="HK32" i="7"/>
  <c r="HJ32" i="7"/>
  <c r="HI32" i="7"/>
  <c r="HH32" i="7"/>
  <c r="HG32" i="7"/>
  <c r="HF32" i="7"/>
  <c r="HE32" i="7"/>
  <c r="HD32" i="7"/>
  <c r="HC32" i="7"/>
  <c r="HB32" i="7"/>
  <c r="HA32" i="7"/>
  <c r="GZ32" i="7"/>
  <c r="GY32" i="7"/>
  <c r="GX32" i="7"/>
  <c r="GW32" i="7"/>
  <c r="GV32" i="7"/>
  <c r="GU32" i="7"/>
  <c r="GT32" i="7"/>
  <c r="GS32" i="7"/>
  <c r="GR32" i="7"/>
  <c r="GQ32" i="7"/>
  <c r="GP32" i="7"/>
  <c r="GO32" i="7"/>
  <c r="GN32" i="7"/>
  <c r="GM32" i="7"/>
  <c r="GL32" i="7"/>
  <c r="GK32" i="7"/>
  <c r="GJ32" i="7"/>
  <c r="GI32" i="7"/>
  <c r="GH32" i="7"/>
  <c r="GG32" i="7"/>
  <c r="GF32" i="7"/>
  <c r="GE32" i="7"/>
  <c r="GD32" i="7"/>
  <c r="GC32" i="7"/>
  <c r="GB32" i="7"/>
  <c r="GA32" i="7"/>
  <c r="FZ32" i="7"/>
  <c r="FY32" i="7"/>
  <c r="FX32" i="7"/>
  <c r="FW32" i="7"/>
  <c r="FV32" i="7"/>
  <c r="FU32" i="7"/>
  <c r="FT32" i="7"/>
  <c r="FS32" i="7"/>
  <c r="FR32" i="7"/>
  <c r="FQ32" i="7"/>
  <c r="FP32" i="7"/>
  <c r="FO32" i="7"/>
  <c r="FN32" i="7"/>
  <c r="FM32" i="7"/>
  <c r="FL32" i="7"/>
  <c r="FK32" i="7"/>
  <c r="FJ32" i="7"/>
  <c r="FI32" i="7"/>
  <c r="FH32" i="7"/>
  <c r="FG32" i="7"/>
  <c r="FF32" i="7"/>
  <c r="FE32" i="7"/>
  <c r="FD32" i="7"/>
  <c r="FC32" i="7"/>
  <c r="FB32" i="7"/>
  <c r="FA32" i="7"/>
  <c r="EZ32" i="7"/>
  <c r="EY32" i="7"/>
  <c r="EX32" i="7"/>
  <c r="EW32" i="7"/>
  <c r="EV32" i="7"/>
  <c r="EU32" i="7"/>
  <c r="ET32" i="7"/>
  <c r="ES32" i="7"/>
  <c r="ER32" i="7"/>
  <c r="EQ32" i="7"/>
  <c r="EP32" i="7"/>
  <c r="EO32" i="7"/>
  <c r="EN32" i="7"/>
  <c r="EM32" i="7"/>
  <c r="EL32" i="7"/>
  <c r="EK32" i="7"/>
  <c r="EJ32" i="7"/>
  <c r="EI32" i="7"/>
  <c r="EH32" i="7"/>
  <c r="EG32" i="7"/>
  <c r="EF32" i="7"/>
  <c r="EE32" i="7"/>
  <c r="ED32" i="7"/>
  <c r="EC32" i="7"/>
  <c r="EB32" i="7"/>
  <c r="EA32" i="7"/>
  <c r="DZ32" i="7"/>
  <c r="DY32" i="7"/>
  <c r="DX32" i="7"/>
  <c r="DW32" i="7"/>
  <c r="DV32" i="7"/>
  <c r="DU32" i="7"/>
  <c r="DT32" i="7"/>
  <c r="DS32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32" i="7"/>
  <c r="IV31" i="7"/>
  <c r="IU31" i="7"/>
  <c r="IT31" i="7"/>
  <c r="IS31" i="7"/>
  <c r="IR31" i="7"/>
  <c r="IQ31" i="7"/>
  <c r="IP31" i="7"/>
  <c r="IO31" i="7"/>
  <c r="IN31" i="7"/>
  <c r="IM31" i="7"/>
  <c r="IL31" i="7"/>
  <c r="IK31" i="7"/>
  <c r="IJ31" i="7"/>
  <c r="II31" i="7"/>
  <c r="IH31" i="7"/>
  <c r="IG31" i="7"/>
  <c r="IF31" i="7"/>
  <c r="IE31" i="7"/>
  <c r="ID31" i="7"/>
  <c r="IC31" i="7"/>
  <c r="IB31" i="7"/>
  <c r="IA31" i="7"/>
  <c r="HZ31" i="7"/>
  <c r="HY31" i="7"/>
  <c r="HX31" i="7"/>
  <c r="HW31" i="7"/>
  <c r="HV31" i="7"/>
  <c r="HU31" i="7"/>
  <c r="HT31" i="7"/>
  <c r="HS31" i="7"/>
  <c r="HR31" i="7"/>
  <c r="HQ31" i="7"/>
  <c r="HP31" i="7"/>
  <c r="HO31" i="7"/>
  <c r="HN31" i="7"/>
  <c r="HM31" i="7"/>
  <c r="HL31" i="7"/>
  <c r="HK31" i="7"/>
  <c r="HJ31" i="7"/>
  <c r="HI31" i="7"/>
  <c r="HH31" i="7"/>
  <c r="HG31" i="7"/>
  <c r="HF31" i="7"/>
  <c r="HE31" i="7"/>
  <c r="HD31" i="7"/>
  <c r="HC31" i="7"/>
  <c r="HB31" i="7"/>
  <c r="HA31" i="7"/>
  <c r="GZ31" i="7"/>
  <c r="GY31" i="7"/>
  <c r="GX31" i="7"/>
  <c r="GW31" i="7"/>
  <c r="GV31" i="7"/>
  <c r="GU31" i="7"/>
  <c r="GT31" i="7"/>
  <c r="GS31" i="7"/>
  <c r="GR31" i="7"/>
  <c r="GQ31" i="7"/>
  <c r="GP31" i="7"/>
  <c r="GO31" i="7"/>
  <c r="GN31" i="7"/>
  <c r="GM31" i="7"/>
  <c r="GL31" i="7"/>
  <c r="GK31" i="7"/>
  <c r="GJ31" i="7"/>
  <c r="GI31" i="7"/>
  <c r="GH31" i="7"/>
  <c r="GG31" i="7"/>
  <c r="GF31" i="7"/>
  <c r="GE31" i="7"/>
  <c r="GD31" i="7"/>
  <c r="GC31" i="7"/>
  <c r="GB31" i="7"/>
  <c r="GA31" i="7"/>
  <c r="FZ31" i="7"/>
  <c r="FY31" i="7"/>
  <c r="FX31" i="7"/>
  <c r="FW31" i="7"/>
  <c r="FV31" i="7"/>
  <c r="FU31" i="7"/>
  <c r="FT31" i="7"/>
  <c r="FS31" i="7"/>
  <c r="FR31" i="7"/>
  <c r="FQ31" i="7"/>
  <c r="FP31" i="7"/>
  <c r="FO31" i="7"/>
  <c r="FN31" i="7"/>
  <c r="FM31" i="7"/>
  <c r="FL31" i="7"/>
  <c r="FK31" i="7"/>
  <c r="FJ31" i="7"/>
  <c r="FI31" i="7"/>
  <c r="FH31" i="7"/>
  <c r="FG31" i="7"/>
  <c r="FF31" i="7"/>
  <c r="FE31" i="7"/>
  <c r="FD31" i="7"/>
  <c r="FC31" i="7"/>
  <c r="FB31" i="7"/>
  <c r="FA31" i="7"/>
  <c r="EZ31" i="7"/>
  <c r="EY31" i="7"/>
  <c r="EX31" i="7"/>
  <c r="EW31" i="7"/>
  <c r="EV31" i="7"/>
  <c r="EU31" i="7"/>
  <c r="ET31" i="7"/>
  <c r="ES31" i="7"/>
  <c r="ER31" i="7"/>
  <c r="EQ31" i="7"/>
  <c r="EP31" i="7"/>
  <c r="EO31" i="7"/>
  <c r="EN31" i="7"/>
  <c r="EM31" i="7"/>
  <c r="EL31" i="7"/>
  <c r="EK31" i="7"/>
  <c r="EJ31" i="7"/>
  <c r="EI31" i="7"/>
  <c r="EH31" i="7"/>
  <c r="EG31" i="7"/>
  <c r="EF31" i="7"/>
  <c r="EE31" i="7"/>
  <c r="ED31" i="7"/>
  <c r="EC31" i="7"/>
  <c r="EB31" i="7"/>
  <c r="EA31" i="7"/>
  <c r="DZ31" i="7"/>
  <c r="DY31" i="7"/>
  <c r="DX31" i="7"/>
  <c r="DW31" i="7"/>
  <c r="DV31" i="7"/>
  <c r="DU31" i="7"/>
  <c r="DT31" i="7"/>
  <c r="DS31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31" i="7"/>
  <c r="IV30" i="7"/>
  <c r="IU30" i="7"/>
  <c r="IT30" i="7"/>
  <c r="IS30" i="7"/>
  <c r="IR30" i="7"/>
  <c r="IQ30" i="7"/>
  <c r="IP30" i="7"/>
  <c r="IO30" i="7"/>
  <c r="IN30" i="7"/>
  <c r="IM30" i="7"/>
  <c r="IL30" i="7"/>
  <c r="IK30" i="7"/>
  <c r="IJ30" i="7"/>
  <c r="II30" i="7"/>
  <c r="IH30" i="7"/>
  <c r="IG30" i="7"/>
  <c r="IF30" i="7"/>
  <c r="IE30" i="7"/>
  <c r="ID30" i="7"/>
  <c r="IC30" i="7"/>
  <c r="IB30" i="7"/>
  <c r="IA30" i="7"/>
  <c r="HZ30" i="7"/>
  <c r="HY30" i="7"/>
  <c r="HX30" i="7"/>
  <c r="HW30" i="7"/>
  <c r="HV30" i="7"/>
  <c r="HU30" i="7"/>
  <c r="HT30" i="7"/>
  <c r="HS30" i="7"/>
  <c r="HR30" i="7"/>
  <c r="HQ30" i="7"/>
  <c r="HP30" i="7"/>
  <c r="HO30" i="7"/>
  <c r="HN30" i="7"/>
  <c r="HM30" i="7"/>
  <c r="HL30" i="7"/>
  <c r="HK30" i="7"/>
  <c r="HJ30" i="7"/>
  <c r="HI30" i="7"/>
  <c r="HH30" i="7"/>
  <c r="HG30" i="7"/>
  <c r="HF30" i="7"/>
  <c r="HE30" i="7"/>
  <c r="HD30" i="7"/>
  <c r="HC30" i="7"/>
  <c r="HB30" i="7"/>
  <c r="HA30" i="7"/>
  <c r="GZ30" i="7"/>
  <c r="GY30" i="7"/>
  <c r="GX30" i="7"/>
  <c r="GW30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30" i="7"/>
  <c r="IV29" i="7"/>
  <c r="IU29" i="7"/>
  <c r="IT29" i="7"/>
  <c r="IS29" i="7"/>
  <c r="IR29" i="7"/>
  <c r="IQ29" i="7"/>
  <c r="IP29" i="7"/>
  <c r="IO29" i="7"/>
  <c r="IN29" i="7"/>
  <c r="IM29" i="7"/>
  <c r="IL29" i="7"/>
  <c r="IK29" i="7"/>
  <c r="IJ29" i="7"/>
  <c r="II29" i="7"/>
  <c r="IH29" i="7"/>
  <c r="IG29" i="7"/>
  <c r="IF29" i="7"/>
  <c r="IE29" i="7"/>
  <c r="ID29" i="7"/>
  <c r="IC29" i="7"/>
  <c r="IB29" i="7"/>
  <c r="IA29" i="7"/>
  <c r="HZ29" i="7"/>
  <c r="HY29" i="7"/>
  <c r="HX29" i="7"/>
  <c r="HW29" i="7"/>
  <c r="HV29" i="7"/>
  <c r="HU29" i="7"/>
  <c r="HT29" i="7"/>
  <c r="HS29" i="7"/>
  <c r="HR29" i="7"/>
  <c r="HQ29" i="7"/>
  <c r="HP29" i="7"/>
  <c r="HO29" i="7"/>
  <c r="HN29" i="7"/>
  <c r="HM29" i="7"/>
  <c r="HL29" i="7"/>
  <c r="HK29" i="7"/>
  <c r="HJ29" i="7"/>
  <c r="HI29" i="7"/>
  <c r="HH29" i="7"/>
  <c r="HG29" i="7"/>
  <c r="HF29" i="7"/>
  <c r="HE29" i="7"/>
  <c r="HD29" i="7"/>
  <c r="HC29" i="7"/>
  <c r="HB29" i="7"/>
  <c r="HA29" i="7"/>
  <c r="GZ29" i="7"/>
  <c r="GY29" i="7"/>
  <c r="GX29" i="7"/>
  <c r="GW29" i="7"/>
  <c r="GV29" i="7"/>
  <c r="GU29" i="7"/>
  <c r="GT29" i="7"/>
  <c r="GS29" i="7"/>
  <c r="GR29" i="7"/>
  <c r="GQ29" i="7"/>
  <c r="GP29" i="7"/>
  <c r="GO29" i="7"/>
  <c r="GN29" i="7"/>
  <c r="GM29" i="7"/>
  <c r="GL29" i="7"/>
  <c r="GK29" i="7"/>
  <c r="GJ29" i="7"/>
  <c r="GI29" i="7"/>
  <c r="GH29" i="7"/>
  <c r="GG29" i="7"/>
  <c r="GF29" i="7"/>
  <c r="GE29" i="7"/>
  <c r="GD2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29" i="7"/>
  <c r="IV28" i="7"/>
  <c r="IU28" i="7"/>
  <c r="IT28" i="7"/>
  <c r="IS28" i="7"/>
  <c r="IR28" i="7"/>
  <c r="IQ28" i="7"/>
  <c r="IP28" i="7"/>
  <c r="IO28" i="7"/>
  <c r="IN28" i="7"/>
  <c r="IM28" i="7"/>
  <c r="IL28" i="7"/>
  <c r="IK28" i="7"/>
  <c r="IJ28" i="7"/>
  <c r="II28" i="7"/>
  <c r="IH28" i="7"/>
  <c r="IG28" i="7"/>
  <c r="IF28" i="7"/>
  <c r="IE28" i="7"/>
  <c r="ID28" i="7"/>
  <c r="IC28" i="7"/>
  <c r="IB28" i="7"/>
  <c r="IA28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28" i="7"/>
  <c r="IV27" i="7"/>
  <c r="IU27" i="7"/>
  <c r="IT27" i="7"/>
  <c r="IS27" i="7"/>
  <c r="IR27" i="7"/>
  <c r="IQ27" i="7"/>
  <c r="IP27" i="7"/>
  <c r="IO27" i="7"/>
  <c r="IN27" i="7"/>
  <c r="IM27" i="7"/>
  <c r="IL27" i="7"/>
  <c r="IK27" i="7"/>
  <c r="IJ27" i="7"/>
  <c r="II27" i="7"/>
  <c r="IH27" i="7"/>
  <c r="IG27" i="7"/>
  <c r="IF27" i="7"/>
  <c r="IE27" i="7"/>
  <c r="ID27" i="7"/>
  <c r="IC27" i="7"/>
  <c r="IB27" i="7"/>
  <c r="IA27" i="7"/>
  <c r="HZ27" i="7"/>
  <c r="HY27" i="7"/>
  <c r="HX27" i="7"/>
  <c r="HW27" i="7"/>
  <c r="HV27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27" i="7"/>
  <c r="IV26" i="7"/>
  <c r="IU26" i="7"/>
  <c r="IT26" i="7"/>
  <c r="IS26" i="7"/>
  <c r="IR26" i="7"/>
  <c r="IQ26" i="7"/>
  <c r="IP26" i="7"/>
  <c r="IO26" i="7"/>
  <c r="IN26" i="7"/>
  <c r="IM26" i="7"/>
  <c r="IL26" i="7"/>
  <c r="IK26" i="7"/>
  <c r="IJ26" i="7"/>
  <c r="II26" i="7"/>
  <c r="IH26" i="7"/>
  <c r="IG26" i="7"/>
  <c r="IF26" i="7"/>
  <c r="IE26" i="7"/>
  <c r="ID26" i="7"/>
  <c r="IC26" i="7"/>
  <c r="IB26" i="7"/>
  <c r="IA26" i="7"/>
  <c r="HZ26" i="7"/>
  <c r="HY26" i="7"/>
  <c r="HX26" i="7"/>
  <c r="HW26" i="7"/>
  <c r="HV26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26" i="7"/>
  <c r="IV25" i="7"/>
  <c r="IU25" i="7"/>
  <c r="IT25" i="7"/>
  <c r="IS25" i="7"/>
  <c r="IR25" i="7"/>
  <c r="IQ25" i="7"/>
  <c r="IP25" i="7"/>
  <c r="IO25" i="7"/>
  <c r="IN25" i="7"/>
  <c r="IM25" i="7"/>
  <c r="IL25" i="7"/>
  <c r="IK25" i="7"/>
  <c r="IJ25" i="7"/>
  <c r="II25" i="7"/>
  <c r="IH25" i="7"/>
  <c r="IG25" i="7"/>
  <c r="IF25" i="7"/>
  <c r="IE25" i="7"/>
  <c r="ID25" i="7"/>
  <c r="IC25" i="7"/>
  <c r="IB25" i="7"/>
  <c r="IA25" i="7"/>
  <c r="HZ25" i="7"/>
  <c r="HY25" i="7"/>
  <c r="HX25" i="7"/>
  <c r="HW25" i="7"/>
  <c r="HV25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25" i="7"/>
  <c r="IV24" i="7"/>
  <c r="IU24" i="7"/>
  <c r="IT24" i="7"/>
  <c r="IS24" i="7"/>
  <c r="IR24" i="7"/>
  <c r="IQ24" i="7"/>
  <c r="IP24" i="7"/>
  <c r="IO24" i="7"/>
  <c r="IN24" i="7"/>
  <c r="IM24" i="7"/>
  <c r="IL24" i="7"/>
  <c r="IK24" i="7"/>
  <c r="IJ24" i="7"/>
  <c r="II24" i="7"/>
  <c r="IH24" i="7"/>
  <c r="IG24" i="7"/>
  <c r="IF24" i="7"/>
  <c r="IE24" i="7"/>
  <c r="ID24" i="7"/>
  <c r="IC24" i="7"/>
  <c r="IB24" i="7"/>
  <c r="IA24" i="7"/>
  <c r="HZ24" i="7"/>
  <c r="HY24" i="7"/>
  <c r="HX24" i="7"/>
  <c r="HW24" i="7"/>
  <c r="HV24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24" i="7"/>
  <c r="IV23" i="7"/>
  <c r="IU23" i="7"/>
  <c r="IT23" i="7"/>
  <c r="IS23" i="7"/>
  <c r="IR23" i="7"/>
  <c r="IQ23" i="7"/>
  <c r="IP23" i="7"/>
  <c r="IO23" i="7"/>
  <c r="IN23" i="7"/>
  <c r="IM23" i="7"/>
  <c r="IL23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23" i="7"/>
  <c r="IV22" i="7"/>
  <c r="IU22" i="7"/>
  <c r="IT22" i="7"/>
  <c r="IS22" i="7"/>
  <c r="IR22" i="7"/>
  <c r="IQ22" i="7"/>
  <c r="IP22" i="7"/>
  <c r="IO22" i="7"/>
  <c r="IN22" i="7"/>
  <c r="IM22" i="7"/>
  <c r="IL22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IV21" i="7"/>
  <c r="IU21" i="7"/>
  <c r="IT21" i="7"/>
  <c r="IS21" i="7"/>
  <c r="IR21" i="7"/>
  <c r="IQ21" i="7"/>
  <c r="IP21" i="7"/>
  <c r="IO21" i="7"/>
  <c r="IN21" i="7"/>
  <c r="IM21" i="7"/>
  <c r="IL21" i="7"/>
  <c r="IK21" i="7"/>
  <c r="IJ21" i="7"/>
  <c r="II21" i="7"/>
  <c r="IH21" i="7"/>
  <c r="IG21" i="7"/>
  <c r="IF21" i="7"/>
  <c r="IE21" i="7"/>
  <c r="ID21" i="7"/>
  <c r="IC21" i="7"/>
  <c r="IB21" i="7"/>
  <c r="IA21" i="7"/>
  <c r="HZ21" i="7"/>
  <c r="HY21" i="7"/>
  <c r="HX21" i="7"/>
  <c r="HW21" i="7"/>
  <c r="HV21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IV20" i="7"/>
  <c r="IU20" i="7"/>
  <c r="IT20" i="7"/>
  <c r="IS20" i="7"/>
  <c r="IR20" i="7"/>
  <c r="IQ20" i="7"/>
  <c r="IP20" i="7"/>
  <c r="IO20" i="7"/>
  <c r="IN20" i="7"/>
  <c r="IM20" i="7"/>
  <c r="IL20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IV19" i="7"/>
  <c r="IU19" i="7"/>
  <c r="IT19" i="7"/>
  <c r="IS19" i="7"/>
  <c r="IR19" i="7"/>
  <c r="IQ19" i="7"/>
  <c r="IP19" i="7"/>
  <c r="IO19" i="7"/>
  <c r="IN19" i="7"/>
  <c r="IM19" i="7"/>
  <c r="IL19" i="7"/>
  <c r="IK19" i="7"/>
  <c r="IJ19" i="7"/>
  <c r="II19" i="7"/>
  <c r="IH19" i="7"/>
  <c r="IG19" i="7"/>
  <c r="IF19" i="7"/>
  <c r="IE19" i="7"/>
  <c r="ID19" i="7"/>
  <c r="IC19" i="7"/>
  <c r="IB19" i="7"/>
  <c r="IA19" i="7"/>
  <c r="HZ19" i="7"/>
  <c r="HY19" i="7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IV18" i="7"/>
  <c r="IU18" i="7"/>
  <c r="IT18" i="7"/>
  <c r="IS18" i="7"/>
  <c r="IR18" i="7"/>
  <c r="IQ18" i="7"/>
  <c r="IP18" i="7"/>
  <c r="IO18" i="7"/>
  <c r="IN18" i="7"/>
  <c r="IM18" i="7"/>
  <c r="IL18" i="7"/>
  <c r="IK18" i="7"/>
  <c r="IJ18" i="7"/>
  <c r="II18" i="7"/>
  <c r="IH18" i="7"/>
  <c r="IG18" i="7"/>
  <c r="IF18" i="7"/>
  <c r="IE18" i="7"/>
  <c r="ID18" i="7"/>
  <c r="IC18" i="7"/>
  <c r="IB18" i="7"/>
  <c r="IA18" i="7"/>
  <c r="HZ18" i="7"/>
  <c r="HY18" i="7"/>
  <c r="HX18" i="7"/>
  <c r="HW18" i="7"/>
  <c r="HV18" i="7"/>
  <c r="HU18" i="7"/>
  <c r="HT18" i="7"/>
  <c r="HS18" i="7"/>
  <c r="HR18" i="7"/>
  <c r="HQ18" i="7"/>
  <c r="HP18" i="7"/>
  <c r="HO18" i="7"/>
  <c r="HN18" i="7"/>
  <c r="HM18" i="7"/>
  <c r="HL18" i="7"/>
  <c r="HK18" i="7"/>
  <c r="HJ18" i="7"/>
  <c r="HI18" i="7"/>
  <c r="HH18" i="7"/>
  <c r="HG18" i="7"/>
  <c r="HF18" i="7"/>
  <c r="HE18" i="7"/>
  <c r="HD18" i="7"/>
  <c r="HC18" i="7"/>
  <c r="HB18" i="7"/>
  <c r="HA18" i="7"/>
  <c r="GZ18" i="7"/>
  <c r="GY18" i="7"/>
  <c r="GX18" i="7"/>
  <c r="GW18" i="7"/>
  <c r="GV18" i="7"/>
  <c r="GU18" i="7"/>
  <c r="GT18" i="7"/>
  <c r="GS18" i="7"/>
  <c r="GR18" i="7"/>
  <c r="GQ18" i="7"/>
  <c r="GP18" i="7"/>
  <c r="GO18" i="7"/>
  <c r="GN18" i="7"/>
  <c r="GM18" i="7"/>
  <c r="GL18" i="7"/>
  <c r="GK18" i="7"/>
  <c r="GJ18" i="7"/>
  <c r="GI18" i="7"/>
  <c r="GH18" i="7"/>
  <c r="GG18" i="7"/>
  <c r="GF18" i="7"/>
  <c r="GE18" i="7"/>
  <c r="GD18" i="7"/>
  <c r="GC18" i="7"/>
  <c r="GB18" i="7"/>
  <c r="GA18" i="7"/>
  <c r="FZ18" i="7"/>
  <c r="FY18" i="7"/>
  <c r="FX18" i="7"/>
  <c r="FW18" i="7"/>
  <c r="FV18" i="7"/>
  <c r="FU18" i="7"/>
  <c r="FT18" i="7"/>
  <c r="FS18" i="7"/>
  <c r="FR18" i="7"/>
  <c r="FQ18" i="7"/>
  <c r="FP18" i="7"/>
  <c r="FO18" i="7"/>
  <c r="FN18" i="7"/>
  <c r="FM18" i="7"/>
  <c r="FL18" i="7"/>
  <c r="FK18" i="7"/>
  <c r="FJ18" i="7"/>
  <c r="FI18" i="7"/>
  <c r="FH18" i="7"/>
  <c r="FG18" i="7"/>
  <c r="FF18" i="7"/>
  <c r="FE18" i="7"/>
  <c r="FD18" i="7"/>
  <c r="FC18" i="7"/>
  <c r="FB18" i="7"/>
  <c r="FA18" i="7"/>
  <c r="EZ18" i="7"/>
  <c r="EY18" i="7"/>
  <c r="EX18" i="7"/>
  <c r="EW18" i="7"/>
  <c r="EV18" i="7"/>
  <c r="EU18" i="7"/>
  <c r="ET18" i="7"/>
  <c r="ES18" i="7"/>
  <c r="ER18" i="7"/>
  <c r="EQ18" i="7"/>
  <c r="EP18" i="7"/>
  <c r="EO18" i="7"/>
  <c r="EN18" i="7"/>
  <c r="EM18" i="7"/>
  <c r="EL18" i="7"/>
  <c r="EK18" i="7"/>
  <c r="EJ18" i="7"/>
  <c r="EI18" i="7"/>
  <c r="EH18" i="7"/>
  <c r="EG18" i="7"/>
  <c r="EF18" i="7"/>
  <c r="EE18" i="7"/>
  <c r="ED18" i="7"/>
  <c r="EC18" i="7"/>
  <c r="EB18" i="7"/>
  <c r="EA18" i="7"/>
  <c r="DZ18" i="7"/>
  <c r="DY18" i="7"/>
  <c r="DX18" i="7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IV17" i="7"/>
  <c r="IU17" i="7"/>
  <c r="IT17" i="7"/>
  <c r="IS17" i="7"/>
  <c r="IR17" i="7"/>
  <c r="IQ17" i="7"/>
  <c r="IP17" i="7"/>
  <c r="IO17" i="7"/>
  <c r="IN17" i="7"/>
  <c r="IM17" i="7"/>
  <c r="IL17" i="7"/>
  <c r="IK17" i="7"/>
  <c r="IJ17" i="7"/>
  <c r="II17" i="7"/>
  <c r="IH17" i="7"/>
  <c r="IG17" i="7"/>
  <c r="IF17" i="7"/>
  <c r="IE17" i="7"/>
  <c r="ID17" i="7"/>
  <c r="IC17" i="7"/>
  <c r="IB17" i="7"/>
  <c r="IA17" i="7"/>
  <c r="HZ17" i="7"/>
  <c r="HY17" i="7"/>
  <c r="HX17" i="7"/>
  <c r="HW17" i="7"/>
  <c r="HV17" i="7"/>
  <c r="HU17" i="7"/>
  <c r="HT17" i="7"/>
  <c r="HS17" i="7"/>
  <c r="HR17" i="7"/>
  <c r="HQ17" i="7"/>
  <c r="HP17" i="7"/>
  <c r="HO17" i="7"/>
  <c r="HN17" i="7"/>
  <c r="HM17" i="7"/>
  <c r="HL17" i="7"/>
  <c r="HK17" i="7"/>
  <c r="HJ17" i="7"/>
  <c r="HI17" i="7"/>
  <c r="HH17" i="7"/>
  <c r="HG17" i="7"/>
  <c r="HF17" i="7"/>
  <c r="HE17" i="7"/>
  <c r="HD17" i="7"/>
  <c r="HC17" i="7"/>
  <c r="HB17" i="7"/>
  <c r="HA17" i="7"/>
  <c r="GZ17" i="7"/>
  <c r="GY17" i="7"/>
  <c r="GX17" i="7"/>
  <c r="GW17" i="7"/>
  <c r="GV17" i="7"/>
  <c r="GU17" i="7"/>
  <c r="GT17" i="7"/>
  <c r="GS17" i="7"/>
  <c r="GR17" i="7"/>
  <c r="GQ17" i="7"/>
  <c r="GP17" i="7"/>
  <c r="GO17" i="7"/>
  <c r="GN17" i="7"/>
  <c r="GM17" i="7"/>
  <c r="GL17" i="7"/>
  <c r="GK17" i="7"/>
  <c r="GJ17" i="7"/>
  <c r="GI17" i="7"/>
  <c r="GH17" i="7"/>
  <c r="GG17" i="7"/>
  <c r="GF17" i="7"/>
  <c r="GE17" i="7"/>
  <c r="GD17" i="7"/>
  <c r="GC17" i="7"/>
  <c r="GB17" i="7"/>
  <c r="GA17" i="7"/>
  <c r="FZ17" i="7"/>
  <c r="FY17" i="7"/>
  <c r="FX17" i="7"/>
  <c r="FW17" i="7"/>
  <c r="FV17" i="7"/>
  <c r="FU17" i="7"/>
  <c r="FT17" i="7"/>
  <c r="FS17" i="7"/>
  <c r="FR17" i="7"/>
  <c r="FQ17" i="7"/>
  <c r="FP17" i="7"/>
  <c r="FO17" i="7"/>
  <c r="FN17" i="7"/>
  <c r="FM17" i="7"/>
  <c r="FL17" i="7"/>
  <c r="FK17" i="7"/>
  <c r="FJ17" i="7"/>
  <c r="FI17" i="7"/>
  <c r="FH17" i="7"/>
  <c r="FG17" i="7"/>
  <c r="FF17" i="7"/>
  <c r="FE17" i="7"/>
  <c r="FD17" i="7"/>
  <c r="FC17" i="7"/>
  <c r="FB17" i="7"/>
  <c r="FA17" i="7"/>
  <c r="EZ17" i="7"/>
  <c r="EY17" i="7"/>
  <c r="EX17" i="7"/>
  <c r="EW17" i="7"/>
  <c r="EV17" i="7"/>
  <c r="EU17" i="7"/>
  <c r="ET17" i="7"/>
  <c r="ES17" i="7"/>
  <c r="ER17" i="7"/>
  <c r="EQ17" i="7"/>
  <c r="EP17" i="7"/>
  <c r="EO17" i="7"/>
  <c r="EN17" i="7"/>
  <c r="EM17" i="7"/>
  <c r="EL17" i="7"/>
  <c r="EK17" i="7"/>
  <c r="EJ17" i="7"/>
  <c r="EI17" i="7"/>
  <c r="EH17" i="7"/>
  <c r="EG17" i="7"/>
  <c r="EF17" i="7"/>
  <c r="EE17" i="7"/>
  <c r="ED17" i="7"/>
  <c r="EC17" i="7"/>
  <c r="EB17" i="7"/>
  <c r="EA17" i="7"/>
  <c r="DZ17" i="7"/>
  <c r="DY17" i="7"/>
  <c r="DX17" i="7"/>
  <c r="DW17" i="7"/>
  <c r="DV17" i="7"/>
  <c r="DU17" i="7"/>
  <c r="DT17" i="7"/>
  <c r="DS17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IV16" i="7"/>
  <c r="IU16" i="7"/>
  <c r="IT16" i="7"/>
  <c r="IS16" i="7"/>
  <c r="IR16" i="7"/>
  <c r="IQ16" i="7"/>
  <c r="IP16" i="7"/>
  <c r="IO16" i="7"/>
  <c r="IN16" i="7"/>
  <c r="IM16" i="7"/>
  <c r="IL16" i="7"/>
  <c r="IK16" i="7"/>
  <c r="IJ16" i="7"/>
  <c r="II16" i="7"/>
  <c r="IH16" i="7"/>
  <c r="IG16" i="7"/>
  <c r="IF16" i="7"/>
  <c r="IE16" i="7"/>
  <c r="ID16" i="7"/>
  <c r="IC16" i="7"/>
  <c r="IB16" i="7"/>
  <c r="IA16" i="7"/>
  <c r="HZ16" i="7"/>
  <c r="HY16" i="7"/>
  <c r="HX16" i="7"/>
  <c r="HW16" i="7"/>
  <c r="HV16" i="7"/>
  <c r="HU16" i="7"/>
  <c r="HT16" i="7"/>
  <c r="HS16" i="7"/>
  <c r="HR16" i="7"/>
  <c r="HQ16" i="7"/>
  <c r="HP16" i="7"/>
  <c r="HO16" i="7"/>
  <c r="HN16" i="7"/>
  <c r="HM16" i="7"/>
  <c r="HL16" i="7"/>
  <c r="HK16" i="7"/>
  <c r="HJ16" i="7"/>
  <c r="HI16" i="7"/>
  <c r="HH16" i="7"/>
  <c r="HG16" i="7"/>
  <c r="HF16" i="7"/>
  <c r="HE16" i="7"/>
  <c r="HD16" i="7"/>
  <c r="HC16" i="7"/>
  <c r="HB16" i="7"/>
  <c r="HA16" i="7"/>
  <c r="GZ16" i="7"/>
  <c r="GY16" i="7"/>
  <c r="GX16" i="7"/>
  <c r="GW16" i="7"/>
  <c r="GV16" i="7"/>
  <c r="GU16" i="7"/>
  <c r="GT16" i="7"/>
  <c r="GS16" i="7"/>
  <c r="GR16" i="7"/>
  <c r="GQ16" i="7"/>
  <c r="GP16" i="7"/>
  <c r="GO16" i="7"/>
  <c r="GN16" i="7"/>
  <c r="GM16" i="7"/>
  <c r="GL16" i="7"/>
  <c r="GK16" i="7"/>
  <c r="GJ16" i="7"/>
  <c r="GI16" i="7"/>
  <c r="GH16" i="7"/>
  <c r="GG16" i="7"/>
  <c r="GF16" i="7"/>
  <c r="GE16" i="7"/>
  <c r="GD16" i="7"/>
  <c r="GC16" i="7"/>
  <c r="GB16" i="7"/>
  <c r="GA16" i="7"/>
  <c r="FZ16" i="7"/>
  <c r="FY16" i="7"/>
  <c r="FX16" i="7"/>
  <c r="FW16" i="7"/>
  <c r="FV16" i="7"/>
  <c r="FU16" i="7"/>
  <c r="FT16" i="7"/>
  <c r="FS16" i="7"/>
  <c r="FR16" i="7"/>
  <c r="FQ16" i="7"/>
  <c r="FP16" i="7"/>
  <c r="FO16" i="7"/>
  <c r="FN16" i="7"/>
  <c r="FM16" i="7"/>
  <c r="FL16" i="7"/>
  <c r="FK16" i="7"/>
  <c r="FJ16" i="7"/>
  <c r="FI16" i="7"/>
  <c r="FH16" i="7"/>
  <c r="FG16" i="7"/>
  <c r="FF16" i="7"/>
  <c r="FE16" i="7"/>
  <c r="FD16" i="7"/>
  <c r="FC16" i="7"/>
  <c r="FB16" i="7"/>
  <c r="FA16" i="7"/>
  <c r="EZ16" i="7"/>
  <c r="EY16" i="7"/>
  <c r="EX16" i="7"/>
  <c r="EW16" i="7"/>
  <c r="EV16" i="7"/>
  <c r="EU16" i="7"/>
  <c r="ET16" i="7"/>
  <c r="ES16" i="7"/>
  <c r="ER16" i="7"/>
  <c r="EQ16" i="7"/>
  <c r="EP16" i="7"/>
  <c r="EO16" i="7"/>
  <c r="EN16" i="7"/>
  <c r="EM16" i="7"/>
  <c r="EL16" i="7"/>
  <c r="EK16" i="7"/>
  <c r="EJ16" i="7"/>
  <c r="EI16" i="7"/>
  <c r="EH16" i="7"/>
  <c r="EG16" i="7"/>
  <c r="EF16" i="7"/>
  <c r="EE16" i="7"/>
  <c r="ED16" i="7"/>
  <c r="EC16" i="7"/>
  <c r="EB16" i="7"/>
  <c r="EA16" i="7"/>
  <c r="DZ16" i="7"/>
  <c r="DY16" i="7"/>
  <c r="DX16" i="7"/>
  <c r="DW16" i="7"/>
  <c r="DV16" i="7"/>
  <c r="DU16" i="7"/>
  <c r="DT16" i="7"/>
  <c r="DS16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IV15" i="7"/>
  <c r="IU15" i="7"/>
  <c r="IT15" i="7"/>
  <c r="IS15" i="7"/>
  <c r="IR15" i="7"/>
  <c r="IQ15" i="7"/>
  <c r="IP15" i="7"/>
  <c r="IO15" i="7"/>
  <c r="IN15" i="7"/>
  <c r="IM15" i="7"/>
  <c r="IL15" i="7"/>
  <c r="IK15" i="7"/>
  <c r="IJ15" i="7"/>
  <c r="II15" i="7"/>
  <c r="IH15" i="7"/>
  <c r="IG15" i="7"/>
  <c r="IF15" i="7"/>
  <c r="IE15" i="7"/>
  <c r="ID15" i="7"/>
  <c r="IC15" i="7"/>
  <c r="IB15" i="7"/>
  <c r="IA15" i="7"/>
  <c r="HZ15" i="7"/>
  <c r="HY15" i="7"/>
  <c r="HX15" i="7"/>
  <c r="HW15" i="7"/>
  <c r="HV15" i="7"/>
  <c r="HU15" i="7"/>
  <c r="HT15" i="7"/>
  <c r="HS15" i="7"/>
  <c r="HR15" i="7"/>
  <c r="HQ15" i="7"/>
  <c r="HP15" i="7"/>
  <c r="HO15" i="7"/>
  <c r="HN15" i="7"/>
  <c r="HM15" i="7"/>
  <c r="HL15" i="7"/>
  <c r="HK15" i="7"/>
  <c r="HJ15" i="7"/>
  <c r="HI15" i="7"/>
  <c r="HH15" i="7"/>
  <c r="HG15" i="7"/>
  <c r="HF15" i="7"/>
  <c r="HE15" i="7"/>
  <c r="HD15" i="7"/>
  <c r="HC15" i="7"/>
  <c r="HB15" i="7"/>
  <c r="HA15" i="7"/>
  <c r="GZ15" i="7"/>
  <c r="GY15" i="7"/>
  <c r="GX15" i="7"/>
  <c r="GW15" i="7"/>
  <c r="GV15" i="7"/>
  <c r="GU15" i="7"/>
  <c r="GT15" i="7"/>
  <c r="GS15" i="7"/>
  <c r="GR15" i="7"/>
  <c r="GQ15" i="7"/>
  <c r="GP15" i="7"/>
  <c r="GO15" i="7"/>
  <c r="GN15" i="7"/>
  <c r="GM15" i="7"/>
  <c r="GL15" i="7"/>
  <c r="GK15" i="7"/>
  <c r="GJ15" i="7"/>
  <c r="GI15" i="7"/>
  <c r="GH15" i="7"/>
  <c r="GG15" i="7"/>
  <c r="GF15" i="7"/>
  <c r="GE15" i="7"/>
  <c r="GD15" i="7"/>
  <c r="GC15" i="7"/>
  <c r="GB15" i="7"/>
  <c r="GA15" i="7"/>
  <c r="FZ15" i="7"/>
  <c r="FY15" i="7"/>
  <c r="FX15" i="7"/>
  <c r="FW15" i="7"/>
  <c r="FV15" i="7"/>
  <c r="FU15" i="7"/>
  <c r="FT15" i="7"/>
  <c r="FS15" i="7"/>
  <c r="FR15" i="7"/>
  <c r="FQ15" i="7"/>
  <c r="FP15" i="7"/>
  <c r="FO15" i="7"/>
  <c r="FN15" i="7"/>
  <c r="FM15" i="7"/>
  <c r="FL15" i="7"/>
  <c r="FK15" i="7"/>
  <c r="FJ15" i="7"/>
  <c r="FI15" i="7"/>
  <c r="FH15" i="7"/>
  <c r="FG15" i="7"/>
  <c r="FF15" i="7"/>
  <c r="FE15" i="7"/>
  <c r="FD15" i="7"/>
  <c r="FC15" i="7"/>
  <c r="FB15" i="7"/>
  <c r="FA15" i="7"/>
  <c r="EZ15" i="7"/>
  <c r="EY15" i="7"/>
  <c r="EX15" i="7"/>
  <c r="EW15" i="7"/>
  <c r="EV15" i="7"/>
  <c r="EU15" i="7"/>
  <c r="ET15" i="7"/>
  <c r="ES15" i="7"/>
  <c r="ER15" i="7"/>
  <c r="EQ15" i="7"/>
  <c r="EP15" i="7"/>
  <c r="EO15" i="7"/>
  <c r="EN15" i="7"/>
  <c r="EM15" i="7"/>
  <c r="EL15" i="7"/>
  <c r="EK15" i="7"/>
  <c r="EJ15" i="7"/>
  <c r="EI15" i="7"/>
  <c r="EH15" i="7"/>
  <c r="EG15" i="7"/>
  <c r="EF15" i="7"/>
  <c r="EE15" i="7"/>
  <c r="ED15" i="7"/>
  <c r="EC15" i="7"/>
  <c r="EB15" i="7"/>
  <c r="EA15" i="7"/>
  <c r="DZ15" i="7"/>
  <c r="DY15" i="7"/>
  <c r="DX15" i="7"/>
  <c r="DW15" i="7"/>
  <c r="DV15" i="7"/>
  <c r="DU15" i="7"/>
  <c r="DT15" i="7"/>
  <c r="DS15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15" i="7"/>
  <c r="IV14" i="7"/>
  <c r="IU14" i="7"/>
  <c r="IT14" i="7"/>
  <c r="IS14" i="7"/>
  <c r="IR14" i="7"/>
  <c r="IQ14" i="7"/>
  <c r="IP14" i="7"/>
  <c r="IO14" i="7"/>
  <c r="IN14" i="7"/>
  <c r="IM14" i="7"/>
  <c r="IL14" i="7"/>
  <c r="IK14" i="7"/>
  <c r="IJ14" i="7"/>
  <c r="II14" i="7"/>
  <c r="IH14" i="7"/>
  <c r="IG14" i="7"/>
  <c r="IF14" i="7"/>
  <c r="IE14" i="7"/>
  <c r="ID14" i="7"/>
  <c r="IC14" i="7"/>
  <c r="IB14" i="7"/>
  <c r="IA14" i="7"/>
  <c r="HZ14" i="7"/>
  <c r="HY14" i="7"/>
  <c r="HX14" i="7"/>
  <c r="HW14" i="7"/>
  <c r="HV14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IV13" i="7"/>
  <c r="IU13" i="7"/>
  <c r="IT13" i="7"/>
  <c r="IS13" i="7"/>
  <c r="IR13" i="7"/>
  <c r="IQ13" i="7"/>
  <c r="IP13" i="7"/>
  <c r="IO13" i="7"/>
  <c r="IN13" i="7"/>
  <c r="IM13" i="7"/>
  <c r="IL13" i="7"/>
  <c r="IK13" i="7"/>
  <c r="IJ13" i="7"/>
  <c r="II13" i="7"/>
  <c r="IH13" i="7"/>
  <c r="IG13" i="7"/>
  <c r="IF13" i="7"/>
  <c r="IE13" i="7"/>
  <c r="ID13" i="7"/>
  <c r="IC13" i="7"/>
  <c r="IB13" i="7"/>
  <c r="IA13" i="7"/>
  <c r="HZ13" i="7"/>
  <c r="HY13" i="7"/>
  <c r="HX13" i="7"/>
  <c r="HW13" i="7"/>
  <c r="HV13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IV12" i="7"/>
  <c r="IU12" i="7"/>
  <c r="IT12" i="7"/>
  <c r="IS12" i="7"/>
  <c r="IR12" i="7"/>
  <c r="IQ12" i="7"/>
  <c r="IP12" i="7"/>
  <c r="IO12" i="7"/>
  <c r="IN12" i="7"/>
  <c r="IM12" i="7"/>
  <c r="IL12" i="7"/>
  <c r="IK12" i="7"/>
  <c r="IJ12" i="7"/>
  <c r="II12" i="7"/>
  <c r="IH12" i="7"/>
  <c r="IG12" i="7"/>
  <c r="IF12" i="7"/>
  <c r="IE12" i="7"/>
  <c r="ID12" i="7"/>
  <c r="IC12" i="7"/>
  <c r="IB12" i="7"/>
  <c r="IA12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IV11" i="7"/>
  <c r="IU11" i="7"/>
  <c r="IT11" i="7"/>
  <c r="IS11" i="7"/>
  <c r="IR11" i="7"/>
  <c r="IQ11" i="7"/>
  <c r="IP11" i="7"/>
  <c r="IO11" i="7"/>
  <c r="IN11" i="7"/>
  <c r="IM11" i="7"/>
  <c r="IL11" i="7"/>
  <c r="IK11" i="7"/>
  <c r="IJ11" i="7"/>
  <c r="II11" i="7"/>
  <c r="IH11" i="7"/>
  <c r="IG11" i="7"/>
  <c r="IF11" i="7"/>
  <c r="IE11" i="7"/>
  <c r="ID11" i="7"/>
  <c r="IC11" i="7"/>
  <c r="IB11" i="7"/>
  <c r="IA11" i="7"/>
  <c r="HZ11" i="7"/>
  <c r="HY11" i="7"/>
  <c r="HX11" i="7"/>
  <c r="HW11" i="7"/>
  <c r="HV11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IV10" i="7"/>
  <c r="IU10" i="7"/>
  <c r="IT10" i="7"/>
  <c r="IS10" i="7"/>
  <c r="IR10" i="7"/>
  <c r="IQ10" i="7"/>
  <c r="IP10" i="7"/>
  <c r="IO10" i="7"/>
  <c r="IN10" i="7"/>
  <c r="IM10" i="7"/>
  <c r="IL10" i="7"/>
  <c r="IK10" i="7"/>
  <c r="IJ10" i="7"/>
  <c r="II10" i="7"/>
  <c r="IH10" i="7"/>
  <c r="IG10" i="7"/>
  <c r="IF10" i="7"/>
  <c r="IE10" i="7"/>
  <c r="ID10" i="7"/>
  <c r="IC10" i="7"/>
  <c r="IB10" i="7"/>
  <c r="IA10" i="7"/>
  <c r="HZ10" i="7"/>
  <c r="HY10" i="7"/>
  <c r="HX10" i="7"/>
  <c r="HW10" i="7"/>
  <c r="HV10" i="7"/>
  <c r="HU10" i="7"/>
  <c r="HT10" i="7"/>
  <c r="HS10" i="7"/>
  <c r="HR10" i="7"/>
  <c r="HQ10" i="7"/>
  <c r="HP10" i="7"/>
  <c r="HO10" i="7"/>
  <c r="HN10" i="7"/>
  <c r="HM10" i="7"/>
  <c r="HL10" i="7"/>
  <c r="HK10" i="7"/>
  <c r="HJ10" i="7"/>
  <c r="HI10" i="7"/>
  <c r="HH10" i="7"/>
  <c r="HG10" i="7"/>
  <c r="HF10" i="7"/>
  <c r="HE10" i="7"/>
  <c r="HD10" i="7"/>
  <c r="HC10" i="7"/>
  <c r="HB10" i="7"/>
  <c r="HA10" i="7"/>
  <c r="GZ10" i="7"/>
  <c r="GY10" i="7"/>
  <c r="GX10" i="7"/>
  <c r="GW10" i="7"/>
  <c r="GV10" i="7"/>
  <c r="GU10" i="7"/>
  <c r="GT10" i="7"/>
  <c r="GS10" i="7"/>
  <c r="GR10" i="7"/>
  <c r="GQ10" i="7"/>
  <c r="GP10" i="7"/>
  <c r="GO10" i="7"/>
  <c r="GN10" i="7"/>
  <c r="GM10" i="7"/>
  <c r="GL10" i="7"/>
  <c r="GK10" i="7"/>
  <c r="GJ10" i="7"/>
  <c r="GI10" i="7"/>
  <c r="GH10" i="7"/>
  <c r="GG10" i="7"/>
  <c r="GF10" i="7"/>
  <c r="GE10" i="7"/>
  <c r="GD10" i="7"/>
  <c r="GC10" i="7"/>
  <c r="GB10" i="7"/>
  <c r="GA10" i="7"/>
  <c r="FZ10" i="7"/>
  <c r="FY10" i="7"/>
  <c r="FX10" i="7"/>
  <c r="FW10" i="7"/>
  <c r="FV10" i="7"/>
  <c r="FU10" i="7"/>
  <c r="FT10" i="7"/>
  <c r="FS10" i="7"/>
  <c r="FR10" i="7"/>
  <c r="FQ10" i="7"/>
  <c r="FP10" i="7"/>
  <c r="FO10" i="7"/>
  <c r="FN10" i="7"/>
  <c r="FM10" i="7"/>
  <c r="FL10" i="7"/>
  <c r="FK10" i="7"/>
  <c r="FJ10" i="7"/>
  <c r="FI10" i="7"/>
  <c r="FH10" i="7"/>
  <c r="FG10" i="7"/>
  <c r="FF10" i="7"/>
  <c r="FE10" i="7"/>
  <c r="FD10" i="7"/>
  <c r="FC10" i="7"/>
  <c r="FB10" i="7"/>
  <c r="FA10" i="7"/>
  <c r="EZ10" i="7"/>
  <c r="EY10" i="7"/>
  <c r="EX10" i="7"/>
  <c r="EW10" i="7"/>
  <c r="EV10" i="7"/>
  <c r="EU10" i="7"/>
  <c r="ET10" i="7"/>
  <c r="ES10" i="7"/>
  <c r="ER10" i="7"/>
  <c r="EQ10" i="7"/>
  <c r="EP10" i="7"/>
  <c r="EO10" i="7"/>
  <c r="EN10" i="7"/>
  <c r="EM10" i="7"/>
  <c r="EL10" i="7"/>
  <c r="EK10" i="7"/>
  <c r="EJ10" i="7"/>
  <c r="EI10" i="7"/>
  <c r="EH10" i="7"/>
  <c r="EG10" i="7"/>
  <c r="EF10" i="7"/>
  <c r="EE10" i="7"/>
  <c r="ED10" i="7"/>
  <c r="EC10" i="7"/>
  <c r="EB10" i="7"/>
  <c r="EA10" i="7"/>
  <c r="DZ10" i="7"/>
  <c r="DY10" i="7"/>
  <c r="DX10" i="7"/>
  <c r="DW10" i="7"/>
  <c r="DV10" i="7"/>
  <c r="DU10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IV9" i="7"/>
  <c r="IU9" i="7"/>
  <c r="IT9" i="7"/>
  <c r="IS9" i="7"/>
  <c r="IR9" i="7"/>
  <c r="IQ9" i="7"/>
  <c r="IP9" i="7"/>
  <c r="IO9" i="7"/>
  <c r="IN9" i="7"/>
  <c r="IM9" i="7"/>
  <c r="IL9" i="7"/>
  <c r="IK9" i="7"/>
  <c r="IJ9" i="7"/>
  <c r="II9" i="7"/>
  <c r="IH9" i="7"/>
  <c r="IG9" i="7"/>
  <c r="IF9" i="7"/>
  <c r="IE9" i="7"/>
  <c r="ID9" i="7"/>
  <c r="IC9" i="7"/>
  <c r="IB9" i="7"/>
  <c r="IA9" i="7"/>
  <c r="HZ9" i="7"/>
  <c r="HY9" i="7"/>
  <c r="HX9" i="7"/>
  <c r="HW9" i="7"/>
  <c r="HV9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IV8" i="7"/>
  <c r="IU8" i="7"/>
  <c r="IT8" i="7"/>
  <c r="IS8" i="7"/>
  <c r="IR8" i="7"/>
  <c r="IQ8" i="7"/>
  <c r="IP8" i="7"/>
  <c r="IO8" i="7"/>
  <c r="IN8" i="7"/>
  <c r="IM8" i="7"/>
  <c r="IL8" i="7"/>
  <c r="IK8" i="7"/>
  <c r="IJ8" i="7"/>
  <c r="II8" i="7"/>
  <c r="IH8" i="7"/>
  <c r="IG8" i="7"/>
  <c r="IF8" i="7"/>
  <c r="IE8" i="7"/>
  <c r="ID8" i="7"/>
  <c r="IC8" i="7"/>
  <c r="IB8" i="7"/>
  <c r="IA8" i="7"/>
  <c r="HZ8" i="7"/>
  <c r="HY8" i="7"/>
  <c r="HX8" i="7"/>
  <c r="HW8" i="7"/>
  <c r="HV8" i="7"/>
  <c r="HU8" i="7"/>
  <c r="HT8" i="7"/>
  <c r="HS8" i="7"/>
  <c r="HR8" i="7"/>
  <c r="HQ8" i="7"/>
  <c r="HP8" i="7"/>
  <c r="HO8" i="7"/>
  <c r="HN8" i="7"/>
  <c r="HM8" i="7"/>
  <c r="HL8" i="7"/>
  <c r="HK8" i="7"/>
  <c r="HJ8" i="7"/>
  <c r="HI8" i="7"/>
  <c r="HH8" i="7"/>
  <c r="HG8" i="7"/>
  <c r="HF8" i="7"/>
  <c r="HE8" i="7"/>
  <c r="HD8" i="7"/>
  <c r="HC8" i="7"/>
  <c r="HB8" i="7"/>
  <c r="HA8" i="7"/>
  <c r="GZ8" i="7"/>
  <c r="GY8" i="7"/>
  <c r="GX8" i="7"/>
  <c r="GW8" i="7"/>
  <c r="GV8" i="7"/>
  <c r="GU8" i="7"/>
  <c r="GT8" i="7"/>
  <c r="GS8" i="7"/>
  <c r="GR8" i="7"/>
  <c r="GQ8" i="7"/>
  <c r="GP8" i="7"/>
  <c r="GO8" i="7"/>
  <c r="GN8" i="7"/>
  <c r="GM8" i="7"/>
  <c r="GL8" i="7"/>
  <c r="GK8" i="7"/>
  <c r="GJ8" i="7"/>
  <c r="GI8" i="7"/>
  <c r="GH8" i="7"/>
  <c r="GG8" i="7"/>
  <c r="GF8" i="7"/>
  <c r="GE8" i="7"/>
  <c r="GD8" i="7"/>
  <c r="GC8" i="7"/>
  <c r="GB8" i="7"/>
  <c r="GA8" i="7"/>
  <c r="FZ8" i="7"/>
  <c r="FY8" i="7"/>
  <c r="FX8" i="7"/>
  <c r="FW8" i="7"/>
  <c r="FV8" i="7"/>
  <c r="FU8" i="7"/>
  <c r="FT8" i="7"/>
  <c r="FS8" i="7"/>
  <c r="FR8" i="7"/>
  <c r="FQ8" i="7"/>
  <c r="FP8" i="7"/>
  <c r="FO8" i="7"/>
  <c r="FN8" i="7"/>
  <c r="FM8" i="7"/>
  <c r="FL8" i="7"/>
  <c r="FK8" i="7"/>
  <c r="FJ8" i="7"/>
  <c r="FI8" i="7"/>
  <c r="FH8" i="7"/>
  <c r="FG8" i="7"/>
  <c r="FF8" i="7"/>
  <c r="FE8" i="7"/>
  <c r="FD8" i="7"/>
  <c r="FC8" i="7"/>
  <c r="FB8" i="7"/>
  <c r="FA8" i="7"/>
  <c r="EZ8" i="7"/>
  <c r="EY8" i="7"/>
  <c r="EX8" i="7"/>
  <c r="EW8" i="7"/>
  <c r="EV8" i="7"/>
  <c r="EU8" i="7"/>
  <c r="ET8" i="7"/>
  <c r="ES8" i="7"/>
  <c r="ER8" i="7"/>
  <c r="EQ8" i="7"/>
  <c r="EP8" i="7"/>
  <c r="EO8" i="7"/>
  <c r="EN8" i="7"/>
  <c r="EM8" i="7"/>
  <c r="EL8" i="7"/>
  <c r="EK8" i="7"/>
  <c r="EJ8" i="7"/>
  <c r="EI8" i="7"/>
  <c r="EH8" i="7"/>
  <c r="EG8" i="7"/>
  <c r="EF8" i="7"/>
  <c r="EE8" i="7"/>
  <c r="ED8" i="7"/>
  <c r="EC8" i="7"/>
  <c r="EB8" i="7"/>
  <c r="EA8" i="7"/>
  <c r="DZ8" i="7"/>
  <c r="DY8" i="7"/>
  <c r="DX8" i="7"/>
  <c r="DW8" i="7"/>
  <c r="DV8" i="7"/>
  <c r="DU8" i="7"/>
  <c r="DT8" i="7"/>
  <c r="DS8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IV7" i="7"/>
  <c r="IU7" i="7"/>
  <c r="IT7" i="7"/>
  <c r="IS7" i="7"/>
  <c r="IR7" i="7"/>
  <c r="IQ7" i="7"/>
  <c r="IP7" i="7"/>
  <c r="IO7" i="7"/>
  <c r="IN7" i="7"/>
  <c r="IM7" i="7"/>
  <c r="IL7" i="7"/>
  <c r="IK7" i="7"/>
  <c r="IJ7" i="7"/>
  <c r="II7" i="7"/>
  <c r="IH7" i="7"/>
  <c r="IG7" i="7"/>
  <c r="IF7" i="7"/>
  <c r="IE7" i="7"/>
  <c r="ID7" i="7"/>
  <c r="IC7" i="7"/>
  <c r="IB7" i="7"/>
  <c r="IA7" i="7"/>
  <c r="HZ7" i="7"/>
  <c r="HY7" i="7"/>
  <c r="HX7" i="7"/>
  <c r="HW7" i="7"/>
  <c r="HV7" i="7"/>
  <c r="HU7" i="7"/>
  <c r="HT7" i="7"/>
  <c r="HS7" i="7"/>
  <c r="HR7" i="7"/>
  <c r="HQ7" i="7"/>
  <c r="HP7" i="7"/>
  <c r="HO7" i="7"/>
  <c r="HN7" i="7"/>
  <c r="HM7" i="7"/>
  <c r="HL7" i="7"/>
  <c r="HK7" i="7"/>
  <c r="HJ7" i="7"/>
  <c r="HI7" i="7"/>
  <c r="HH7" i="7"/>
  <c r="HG7" i="7"/>
  <c r="HF7" i="7"/>
  <c r="HE7" i="7"/>
  <c r="HD7" i="7"/>
  <c r="HC7" i="7"/>
  <c r="HB7" i="7"/>
  <c r="HA7" i="7"/>
  <c r="GZ7" i="7"/>
  <c r="GY7" i="7"/>
  <c r="GX7" i="7"/>
  <c r="GW7" i="7"/>
  <c r="GV7" i="7"/>
  <c r="GU7" i="7"/>
  <c r="GT7" i="7"/>
  <c r="GS7" i="7"/>
  <c r="GR7" i="7"/>
  <c r="GQ7" i="7"/>
  <c r="GP7" i="7"/>
  <c r="GO7" i="7"/>
  <c r="GN7" i="7"/>
  <c r="GM7" i="7"/>
  <c r="GL7" i="7"/>
  <c r="GK7" i="7"/>
  <c r="GJ7" i="7"/>
  <c r="GI7" i="7"/>
  <c r="GH7" i="7"/>
  <c r="GG7" i="7"/>
  <c r="GF7" i="7"/>
  <c r="GE7" i="7"/>
  <c r="GD7" i="7"/>
  <c r="GC7" i="7"/>
  <c r="GB7" i="7"/>
  <c r="GA7" i="7"/>
  <c r="FZ7" i="7"/>
  <c r="FY7" i="7"/>
  <c r="FX7" i="7"/>
  <c r="FW7" i="7"/>
  <c r="FV7" i="7"/>
  <c r="FU7" i="7"/>
  <c r="FT7" i="7"/>
  <c r="FS7" i="7"/>
  <c r="FR7" i="7"/>
  <c r="FQ7" i="7"/>
  <c r="FP7" i="7"/>
  <c r="FO7" i="7"/>
  <c r="FN7" i="7"/>
  <c r="FM7" i="7"/>
  <c r="FL7" i="7"/>
  <c r="FK7" i="7"/>
  <c r="FJ7" i="7"/>
  <c r="FI7" i="7"/>
  <c r="FH7" i="7"/>
  <c r="FG7" i="7"/>
  <c r="FF7" i="7"/>
  <c r="FE7" i="7"/>
  <c r="FD7" i="7"/>
  <c r="FC7" i="7"/>
  <c r="FB7" i="7"/>
  <c r="FA7" i="7"/>
  <c r="EZ7" i="7"/>
  <c r="EY7" i="7"/>
  <c r="EX7" i="7"/>
  <c r="EW7" i="7"/>
  <c r="EV7" i="7"/>
  <c r="EU7" i="7"/>
  <c r="ET7" i="7"/>
  <c r="ES7" i="7"/>
  <c r="ER7" i="7"/>
  <c r="EQ7" i="7"/>
  <c r="EP7" i="7"/>
  <c r="EO7" i="7"/>
  <c r="EN7" i="7"/>
  <c r="EM7" i="7"/>
  <c r="EL7" i="7"/>
  <c r="EK7" i="7"/>
  <c r="EJ7" i="7"/>
  <c r="EI7" i="7"/>
  <c r="EH7" i="7"/>
  <c r="EG7" i="7"/>
  <c r="EF7" i="7"/>
  <c r="EE7" i="7"/>
  <c r="ED7" i="7"/>
  <c r="EC7" i="7"/>
  <c r="EB7" i="7"/>
  <c r="EA7" i="7"/>
  <c r="DZ7" i="7"/>
  <c r="DY7" i="7"/>
  <c r="DX7" i="7"/>
  <c r="DW7" i="7"/>
  <c r="DV7" i="7"/>
  <c r="DU7" i="7"/>
  <c r="DT7" i="7"/>
  <c r="DS7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IV6" i="7"/>
  <c r="IU6" i="7"/>
  <c r="IT6" i="7"/>
  <c r="IS6" i="7"/>
  <c r="IR6" i="7"/>
  <c r="IQ6" i="7"/>
  <c r="IP6" i="7"/>
  <c r="IO6" i="7"/>
  <c r="IN6" i="7"/>
  <c r="IM6" i="7"/>
  <c r="IL6" i="7"/>
  <c r="IK6" i="7"/>
  <c r="IJ6" i="7"/>
  <c r="II6" i="7"/>
  <c r="IH6" i="7"/>
  <c r="IG6" i="7"/>
  <c r="IF6" i="7"/>
  <c r="IE6" i="7"/>
  <c r="ID6" i="7"/>
  <c r="IC6" i="7"/>
  <c r="IB6" i="7"/>
  <c r="IA6" i="7"/>
  <c r="HZ6" i="7"/>
  <c r="HY6" i="7"/>
  <c r="HX6" i="7"/>
  <c r="HW6" i="7"/>
  <c r="HV6" i="7"/>
  <c r="HU6" i="7"/>
  <c r="HT6" i="7"/>
  <c r="HS6" i="7"/>
  <c r="HR6" i="7"/>
  <c r="HQ6" i="7"/>
  <c r="HP6" i="7"/>
  <c r="HO6" i="7"/>
  <c r="HN6" i="7"/>
  <c r="HM6" i="7"/>
  <c r="HL6" i="7"/>
  <c r="HK6" i="7"/>
  <c r="HJ6" i="7"/>
  <c r="HI6" i="7"/>
  <c r="HH6" i="7"/>
  <c r="HG6" i="7"/>
  <c r="HF6" i="7"/>
  <c r="HE6" i="7"/>
  <c r="HD6" i="7"/>
  <c r="HC6" i="7"/>
  <c r="HB6" i="7"/>
  <c r="HA6" i="7"/>
  <c r="GZ6" i="7"/>
  <c r="GY6" i="7"/>
  <c r="GX6" i="7"/>
  <c r="GW6" i="7"/>
  <c r="GV6" i="7"/>
  <c r="GU6" i="7"/>
  <c r="GT6" i="7"/>
  <c r="GS6" i="7"/>
  <c r="GR6" i="7"/>
  <c r="GQ6" i="7"/>
  <c r="GP6" i="7"/>
  <c r="GO6" i="7"/>
  <c r="GN6" i="7"/>
  <c r="GM6" i="7"/>
  <c r="GL6" i="7"/>
  <c r="GK6" i="7"/>
  <c r="GJ6" i="7"/>
  <c r="GI6" i="7"/>
  <c r="GH6" i="7"/>
  <c r="GG6" i="7"/>
  <c r="GF6" i="7"/>
  <c r="GE6" i="7"/>
  <c r="GD6" i="7"/>
  <c r="GC6" i="7"/>
  <c r="GB6" i="7"/>
  <c r="GA6" i="7"/>
  <c r="FZ6" i="7"/>
  <c r="FY6" i="7"/>
  <c r="FX6" i="7"/>
  <c r="FW6" i="7"/>
  <c r="FV6" i="7"/>
  <c r="FU6" i="7"/>
  <c r="FT6" i="7"/>
  <c r="FS6" i="7"/>
  <c r="FR6" i="7"/>
  <c r="FQ6" i="7"/>
  <c r="FP6" i="7"/>
  <c r="FO6" i="7"/>
  <c r="FN6" i="7"/>
  <c r="FM6" i="7"/>
  <c r="FL6" i="7"/>
  <c r="FK6" i="7"/>
  <c r="FJ6" i="7"/>
  <c r="FI6" i="7"/>
  <c r="FH6" i="7"/>
  <c r="FG6" i="7"/>
  <c r="FF6" i="7"/>
  <c r="FE6" i="7"/>
  <c r="FD6" i="7"/>
  <c r="FC6" i="7"/>
  <c r="FB6" i="7"/>
  <c r="FA6" i="7"/>
  <c r="EZ6" i="7"/>
  <c r="EY6" i="7"/>
  <c r="EX6" i="7"/>
  <c r="EW6" i="7"/>
  <c r="EV6" i="7"/>
  <c r="EU6" i="7"/>
  <c r="ET6" i="7"/>
  <c r="ES6" i="7"/>
  <c r="ER6" i="7"/>
  <c r="EQ6" i="7"/>
  <c r="EP6" i="7"/>
  <c r="EO6" i="7"/>
  <c r="EN6" i="7"/>
  <c r="EM6" i="7"/>
  <c r="EL6" i="7"/>
  <c r="EK6" i="7"/>
  <c r="EJ6" i="7"/>
  <c r="EI6" i="7"/>
  <c r="EH6" i="7"/>
  <c r="EG6" i="7"/>
  <c r="EF6" i="7"/>
  <c r="EE6" i="7"/>
  <c r="ED6" i="7"/>
  <c r="EC6" i="7"/>
  <c r="EB6" i="7"/>
  <c r="EA6" i="7"/>
  <c r="DZ6" i="7"/>
  <c r="DY6" i="7"/>
  <c r="DX6" i="7"/>
  <c r="DW6" i="7"/>
  <c r="DV6" i="7"/>
  <c r="DU6" i="7"/>
  <c r="DT6" i="7"/>
  <c r="DS6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IV5" i="7"/>
  <c r="IU5" i="7"/>
  <c r="IT5" i="7"/>
  <c r="IS5" i="7"/>
  <c r="IR5" i="7"/>
  <c r="IQ5" i="7"/>
  <c r="IP5" i="7"/>
  <c r="IO5" i="7"/>
  <c r="IN5" i="7"/>
  <c r="IM5" i="7"/>
  <c r="IL5" i="7"/>
  <c r="IK5" i="7"/>
  <c r="IJ5" i="7"/>
  <c r="II5" i="7"/>
  <c r="IH5" i="7"/>
  <c r="IG5" i="7"/>
  <c r="IF5" i="7"/>
  <c r="IE5" i="7"/>
  <c r="ID5" i="7"/>
  <c r="IC5" i="7"/>
  <c r="IB5" i="7"/>
  <c r="IA5" i="7"/>
  <c r="HZ5" i="7"/>
  <c r="HY5" i="7"/>
  <c r="HX5" i="7"/>
  <c r="HW5" i="7"/>
  <c r="HV5" i="7"/>
  <c r="HU5" i="7"/>
  <c r="HT5" i="7"/>
  <c r="HS5" i="7"/>
  <c r="HR5" i="7"/>
  <c r="HQ5" i="7"/>
  <c r="HP5" i="7"/>
  <c r="HO5" i="7"/>
  <c r="HN5" i="7"/>
  <c r="HM5" i="7"/>
  <c r="HL5" i="7"/>
  <c r="HK5" i="7"/>
  <c r="HJ5" i="7"/>
  <c r="HI5" i="7"/>
  <c r="HH5" i="7"/>
  <c r="HG5" i="7"/>
  <c r="HF5" i="7"/>
  <c r="HE5" i="7"/>
  <c r="HD5" i="7"/>
  <c r="HC5" i="7"/>
  <c r="HB5" i="7"/>
  <c r="HA5" i="7"/>
  <c r="GZ5" i="7"/>
  <c r="GY5" i="7"/>
  <c r="GX5" i="7"/>
  <c r="GW5" i="7"/>
  <c r="GV5" i="7"/>
  <c r="GU5" i="7"/>
  <c r="GT5" i="7"/>
  <c r="GS5" i="7"/>
  <c r="GR5" i="7"/>
  <c r="GQ5" i="7"/>
  <c r="GP5" i="7"/>
  <c r="GO5" i="7"/>
  <c r="GN5" i="7"/>
  <c r="GM5" i="7"/>
  <c r="GL5" i="7"/>
  <c r="GK5" i="7"/>
  <c r="GJ5" i="7"/>
  <c r="GI5" i="7"/>
  <c r="GH5" i="7"/>
  <c r="GG5" i="7"/>
  <c r="GF5" i="7"/>
  <c r="GE5" i="7"/>
  <c r="GD5" i="7"/>
  <c r="GC5" i="7"/>
  <c r="GB5" i="7"/>
  <c r="GA5" i="7"/>
  <c r="FZ5" i="7"/>
  <c r="FY5" i="7"/>
  <c r="FX5" i="7"/>
  <c r="FW5" i="7"/>
  <c r="FV5" i="7"/>
  <c r="FU5" i="7"/>
  <c r="FT5" i="7"/>
  <c r="FS5" i="7"/>
  <c r="FR5" i="7"/>
  <c r="FQ5" i="7"/>
  <c r="FP5" i="7"/>
  <c r="FO5" i="7"/>
  <c r="FN5" i="7"/>
  <c r="FM5" i="7"/>
  <c r="FL5" i="7"/>
  <c r="FK5" i="7"/>
  <c r="FJ5" i="7"/>
  <c r="FI5" i="7"/>
  <c r="FH5" i="7"/>
  <c r="FG5" i="7"/>
  <c r="FF5" i="7"/>
  <c r="FE5" i="7"/>
  <c r="FD5" i="7"/>
  <c r="FC5" i="7"/>
  <c r="FB5" i="7"/>
  <c r="FA5" i="7"/>
  <c r="EZ5" i="7"/>
  <c r="EY5" i="7"/>
  <c r="EX5" i="7"/>
  <c r="EW5" i="7"/>
  <c r="EV5" i="7"/>
  <c r="EU5" i="7"/>
  <c r="ET5" i="7"/>
  <c r="ES5" i="7"/>
  <c r="ER5" i="7"/>
  <c r="EQ5" i="7"/>
  <c r="EP5" i="7"/>
  <c r="EO5" i="7"/>
  <c r="EN5" i="7"/>
  <c r="EM5" i="7"/>
  <c r="EL5" i="7"/>
  <c r="EK5" i="7"/>
  <c r="EJ5" i="7"/>
  <c r="EI5" i="7"/>
  <c r="EH5" i="7"/>
  <c r="EG5" i="7"/>
  <c r="EF5" i="7"/>
  <c r="EE5" i="7"/>
  <c r="ED5" i="7"/>
  <c r="EC5" i="7"/>
  <c r="EB5" i="7"/>
  <c r="EA5" i="7"/>
  <c r="DZ5" i="7"/>
  <c r="DY5" i="7"/>
  <c r="DX5" i="7"/>
  <c r="DW5" i="7"/>
  <c r="DV5" i="7"/>
  <c r="DU5" i="7"/>
  <c r="DT5" i="7"/>
  <c r="DS5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IV3" i="7"/>
  <c r="IU3" i="7"/>
  <c r="IT3" i="7"/>
  <c r="IS3" i="7"/>
  <c r="IR3" i="7"/>
  <c r="IQ3" i="7"/>
  <c r="IP3" i="7"/>
  <c r="IO3" i="7"/>
  <c r="IN3" i="7"/>
  <c r="IM3" i="7"/>
  <c r="IL3" i="7"/>
  <c r="IK3" i="7"/>
  <c r="IJ3" i="7"/>
  <c r="II3" i="7"/>
  <c r="IH3" i="7"/>
  <c r="IG3" i="7"/>
  <c r="IF3" i="7"/>
  <c r="IE3" i="7"/>
  <c r="ID3" i="7"/>
  <c r="IC3" i="7"/>
  <c r="IB3" i="7"/>
  <c r="IA3" i="7"/>
  <c r="HZ3" i="7"/>
  <c r="HY3" i="7"/>
  <c r="HX3" i="7"/>
  <c r="HW3" i="7"/>
  <c r="HV3" i="7"/>
  <c r="HU3" i="7"/>
  <c r="HT3" i="7"/>
  <c r="HS3" i="7"/>
  <c r="HR3" i="7"/>
  <c r="HQ3" i="7"/>
  <c r="HP3" i="7"/>
  <c r="HO3" i="7"/>
  <c r="HN3" i="7"/>
  <c r="HM3" i="7"/>
  <c r="HL3" i="7"/>
  <c r="HK3" i="7"/>
  <c r="HJ3" i="7"/>
  <c r="HI3" i="7"/>
  <c r="HH3" i="7"/>
  <c r="HG3" i="7"/>
  <c r="HF3" i="7"/>
  <c r="HE3" i="7"/>
  <c r="HD3" i="7"/>
  <c r="HC3" i="7"/>
  <c r="HB3" i="7"/>
  <c r="HA3" i="7"/>
  <c r="GZ3" i="7"/>
  <c r="GY3" i="7"/>
  <c r="GX3" i="7"/>
  <c r="GW3" i="7"/>
  <c r="GV3" i="7"/>
  <c r="GU3" i="7"/>
  <c r="GT3" i="7"/>
  <c r="GS3" i="7"/>
  <c r="GR3" i="7"/>
  <c r="GQ3" i="7"/>
  <c r="GP3" i="7"/>
  <c r="GO3" i="7"/>
  <c r="GN3" i="7"/>
  <c r="GM3" i="7"/>
  <c r="GL3" i="7"/>
  <c r="GK3" i="7"/>
  <c r="GJ3" i="7"/>
  <c r="GI3" i="7"/>
  <c r="GH3" i="7"/>
  <c r="GG3" i="7"/>
  <c r="GF3" i="7"/>
  <c r="GE3" i="7"/>
  <c r="GD3" i="7"/>
  <c r="GC3" i="7"/>
  <c r="GB3" i="7"/>
  <c r="GA3" i="7"/>
  <c r="FZ3" i="7"/>
  <c r="FY3" i="7"/>
  <c r="FX3" i="7"/>
  <c r="FW3" i="7"/>
  <c r="FV3" i="7"/>
  <c r="FU3" i="7"/>
  <c r="FT3" i="7"/>
  <c r="FS3" i="7"/>
  <c r="FR3" i="7"/>
  <c r="FQ3" i="7"/>
  <c r="FP3" i="7"/>
  <c r="FO3" i="7"/>
  <c r="FN3" i="7"/>
  <c r="FM3" i="7"/>
  <c r="FL3" i="7"/>
  <c r="FK3" i="7"/>
  <c r="FJ3" i="7"/>
  <c r="FI3" i="7"/>
  <c r="FH3" i="7"/>
  <c r="FG3" i="7"/>
  <c r="FF3" i="7"/>
  <c r="FE3" i="7"/>
  <c r="FD3" i="7"/>
  <c r="FC3" i="7"/>
  <c r="FB3" i="7"/>
  <c r="FA3" i="7"/>
  <c r="EZ3" i="7"/>
  <c r="EY3" i="7"/>
  <c r="EX3" i="7"/>
  <c r="EW3" i="7"/>
  <c r="EV3" i="7"/>
  <c r="EU3" i="7"/>
  <c r="ET3" i="7"/>
  <c r="ES3" i="7"/>
  <c r="ER3" i="7"/>
  <c r="EQ3" i="7"/>
  <c r="EP3" i="7"/>
  <c r="EO3" i="7"/>
  <c r="EN3" i="7"/>
  <c r="EM3" i="7"/>
  <c r="EL3" i="7"/>
  <c r="EK3" i="7"/>
  <c r="EJ3" i="7"/>
  <c r="EI3" i="7"/>
  <c r="EH3" i="7"/>
  <c r="EG3" i="7"/>
  <c r="EF3" i="7"/>
  <c r="EE3" i="7"/>
  <c r="ED3" i="7"/>
  <c r="EC3" i="7"/>
  <c r="EB3" i="7"/>
  <c r="EA3" i="7"/>
  <c r="DZ3" i="7"/>
  <c r="DY3" i="7"/>
  <c r="DX3" i="7"/>
  <c r="DW3" i="7"/>
  <c r="DV3" i="7"/>
  <c r="DU3" i="7"/>
  <c r="DT3" i="7"/>
  <c r="DS3" i="7"/>
  <c r="DR3" i="7"/>
  <c r="DQ3" i="7"/>
  <c r="DP3" i="7"/>
  <c r="DO3" i="7"/>
  <c r="DN3" i="7"/>
  <c r="DM3" i="7"/>
  <c r="DL3" i="7"/>
  <c r="DK3" i="7"/>
  <c r="DJ3" i="7"/>
  <c r="DI3" i="7"/>
  <c r="DH3" i="7"/>
  <c r="DG3" i="7"/>
  <c r="DF3" i="7"/>
  <c r="DE3" i="7"/>
  <c r="DD3" i="7"/>
  <c r="DC3" i="7"/>
  <c r="DB3" i="7"/>
  <c r="DA3" i="7"/>
  <c r="CZ3" i="7"/>
  <c r="CY3" i="7"/>
  <c r="CX3" i="7"/>
  <c r="CW3" i="7"/>
  <c r="CV3" i="7"/>
  <c r="CU3" i="7"/>
  <c r="CT3" i="7"/>
  <c r="CS3" i="7"/>
  <c r="CR3" i="7"/>
  <c r="CQ3" i="7"/>
  <c r="CP3" i="7"/>
  <c r="CO3" i="7"/>
  <c r="CN3" i="7"/>
  <c r="CM3" i="7"/>
  <c r="CL3" i="7"/>
  <c r="CK3" i="7"/>
  <c r="CJ3" i="7"/>
  <c r="CI3" i="7"/>
  <c r="CH3" i="7"/>
  <c r="CG3" i="7"/>
  <c r="CF3" i="7"/>
  <c r="CE3" i="7"/>
  <c r="CD3" i="7"/>
  <c r="CC3" i="7"/>
  <c r="CB3" i="7"/>
  <c r="CA3" i="7"/>
  <c r="BZ3" i="7"/>
  <c r="BY3" i="7"/>
  <c r="BX3" i="7"/>
  <c r="BW3" i="7"/>
  <c r="BV3" i="7"/>
  <c r="BU3" i="7"/>
  <c r="BT3" i="7"/>
  <c r="BS3" i="7"/>
  <c r="BR3" i="7"/>
  <c r="BQ3" i="7"/>
  <c r="BP3" i="7"/>
  <c r="BO3" i="7"/>
  <c r="BN3" i="7"/>
  <c r="BM3" i="7"/>
  <c r="BL3" i="7"/>
  <c r="BK3" i="7"/>
  <c r="BJ3" i="7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3" i="7"/>
  <c r="IV2" i="7"/>
  <c r="IU2" i="7"/>
  <c r="IT2" i="7"/>
  <c r="IS2" i="7"/>
  <c r="IR2" i="7"/>
  <c r="IQ2" i="7"/>
  <c r="IP2" i="7"/>
  <c r="IO2" i="7"/>
  <c r="IN2" i="7"/>
  <c r="IM2" i="7"/>
  <c r="IL2" i="7"/>
  <c r="IK2" i="7"/>
  <c r="IJ2" i="7"/>
  <c r="II2" i="7"/>
  <c r="IH2" i="7"/>
  <c r="IG2" i="7"/>
  <c r="IF2" i="7"/>
  <c r="IE2" i="7"/>
  <c r="ID2" i="7"/>
  <c r="IC2" i="7"/>
  <c r="IB2" i="7"/>
  <c r="IA2" i="7"/>
  <c r="HZ2" i="7"/>
  <c r="HY2" i="7"/>
  <c r="HX2" i="7"/>
  <c r="HW2" i="7"/>
  <c r="HV2" i="7"/>
  <c r="HU2" i="7"/>
  <c r="HT2" i="7"/>
  <c r="HS2" i="7"/>
  <c r="HR2" i="7"/>
  <c r="HQ2" i="7"/>
  <c r="HP2" i="7"/>
  <c r="HO2" i="7"/>
  <c r="HN2" i="7"/>
  <c r="HM2" i="7"/>
  <c r="HL2" i="7"/>
  <c r="HK2" i="7"/>
  <c r="HJ2" i="7"/>
  <c r="HI2" i="7"/>
  <c r="HH2" i="7"/>
  <c r="HG2" i="7"/>
  <c r="HF2" i="7"/>
  <c r="HE2" i="7"/>
  <c r="HD2" i="7"/>
  <c r="HC2" i="7"/>
  <c r="HB2" i="7"/>
  <c r="HA2" i="7"/>
  <c r="GZ2" i="7"/>
  <c r="GY2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IV1" i="7"/>
  <c r="IU1" i="7"/>
  <c r="IT1" i="7"/>
  <c r="IS1" i="7"/>
  <c r="IR1" i="7"/>
  <c r="IQ1" i="7"/>
  <c r="IP1" i="7"/>
  <c r="IO1" i="7"/>
  <c r="IN1" i="7"/>
  <c r="IM1" i="7"/>
  <c r="IL1" i="7"/>
  <c r="IK1" i="7"/>
  <c r="IJ1" i="7"/>
  <c r="II1" i="7"/>
  <c r="IH1" i="7"/>
  <c r="IG1" i="7"/>
  <c r="IF1" i="7"/>
  <c r="IE1" i="7"/>
  <c r="ID1" i="7"/>
  <c r="IC1" i="7"/>
  <c r="IB1" i="7"/>
  <c r="IA1" i="7"/>
  <c r="HZ1" i="7"/>
  <c r="HY1" i="7"/>
  <c r="HX1" i="7"/>
  <c r="HW1" i="7"/>
  <c r="HV1" i="7"/>
  <c r="HU1" i="7"/>
  <c r="HT1" i="7"/>
  <c r="HS1" i="7"/>
  <c r="HR1" i="7"/>
  <c r="HQ1" i="7"/>
  <c r="HP1" i="7"/>
  <c r="HO1" i="7"/>
  <c r="HN1" i="7"/>
  <c r="HM1" i="7"/>
  <c r="HL1" i="7"/>
  <c r="HK1" i="7"/>
  <c r="HJ1" i="7"/>
  <c r="HI1" i="7"/>
  <c r="HH1" i="7"/>
  <c r="HG1" i="7"/>
  <c r="HF1" i="7"/>
  <c r="HE1" i="7"/>
  <c r="HD1" i="7"/>
  <c r="HC1" i="7"/>
  <c r="HB1" i="7"/>
  <c r="HA1" i="7"/>
  <c r="GZ1" i="7"/>
  <c r="GY1" i="7"/>
  <c r="GX1" i="7"/>
  <c r="GW1" i="7"/>
  <c r="GV1" i="7"/>
  <c r="GU1" i="7"/>
  <c r="GT1" i="7"/>
  <c r="GS1" i="7"/>
  <c r="GR1" i="7"/>
  <c r="GQ1" i="7"/>
  <c r="GP1" i="7"/>
  <c r="GO1" i="7"/>
  <c r="GN1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1" i="7"/>
  <c r="ES1" i="7"/>
  <c r="ER1" i="7"/>
  <c r="EQ1" i="7"/>
  <c r="EP1" i="7"/>
  <c r="EO1" i="7"/>
  <c r="EN1" i="7"/>
  <c r="EM1" i="7"/>
  <c r="EL1" i="7"/>
  <c r="EK1" i="7"/>
  <c r="EJ1" i="7"/>
  <c r="EI1" i="7"/>
  <c r="EH1" i="7"/>
  <c r="EG1" i="7"/>
  <c r="EF1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1" i="7"/>
  <c r="A1" i="7"/>
  <c r="Z14" i="6"/>
  <c r="Y14" i="6"/>
  <c r="U14" i="6"/>
  <c r="T14" i="6"/>
  <c r="O14" i="6"/>
  <c r="P14" i="6" s="1"/>
  <c r="Z12" i="6"/>
  <c r="U12" i="6"/>
  <c r="P12" i="6"/>
  <c r="K12" i="6"/>
  <c r="G12" i="6"/>
  <c r="L12" i="6" s="1"/>
  <c r="F12" i="6"/>
  <c r="E12" i="6"/>
  <c r="E14" i="6" s="1"/>
  <c r="F14" i="6" s="1"/>
  <c r="Z11" i="6"/>
  <c r="U11" i="6"/>
  <c r="P11" i="6"/>
  <c r="L11" i="6"/>
  <c r="K11" i="6"/>
  <c r="I11" i="6"/>
  <c r="G11" i="6"/>
  <c r="H11" i="6" s="1"/>
  <c r="F11" i="6"/>
  <c r="Z10" i="6"/>
  <c r="U10" i="6"/>
  <c r="P10" i="6"/>
  <c r="L10" i="6"/>
  <c r="M10" i="6" s="1"/>
  <c r="N10" i="6" s="1"/>
  <c r="K10" i="6"/>
  <c r="G10" i="6"/>
  <c r="H10" i="6" s="1"/>
  <c r="I10" i="6" s="1"/>
  <c r="F10" i="6"/>
  <c r="Z8" i="6"/>
  <c r="U8" i="6"/>
  <c r="P8" i="6"/>
  <c r="L8" i="6"/>
  <c r="M8" i="6" s="1"/>
  <c r="J8" i="6"/>
  <c r="K8" i="6" s="1"/>
  <c r="I8" i="6"/>
  <c r="G8" i="6"/>
  <c r="F8" i="6"/>
  <c r="Z6" i="6"/>
  <c r="U6" i="6"/>
  <c r="P6" i="6"/>
  <c r="K6" i="6"/>
  <c r="I6" i="6"/>
  <c r="G6" i="6"/>
  <c r="F6" i="6"/>
  <c r="M12" i="6" l="1"/>
  <c r="N12" i="6" s="1"/>
  <c r="Q12" i="6"/>
  <c r="H12" i="6"/>
  <c r="I12" i="6" s="1"/>
  <c r="N8" i="6"/>
  <c r="J14" i="6"/>
  <c r="K14" i="6" s="1"/>
  <c r="M11" i="6"/>
  <c r="N11" i="6" s="1"/>
  <c r="Q11" i="6"/>
  <c r="R12" i="6"/>
  <c r="S12" i="6" s="1"/>
  <c r="V12" i="6"/>
  <c r="Q8" i="6"/>
  <c r="Q10" i="6"/>
  <c r="G14" i="6"/>
  <c r="H14" i="6" s="1"/>
  <c r="L6" i="6"/>
  <c r="I14" i="6" l="1"/>
  <c r="AA12" i="6"/>
  <c r="AB12" i="6" s="1"/>
  <c r="AC12" i="6" s="1"/>
  <c r="W12" i="6"/>
  <c r="X12" i="6" s="1"/>
  <c r="R10" i="6"/>
  <c r="S10" i="6" s="1"/>
  <c r="V10" i="6"/>
  <c r="R11" i="6"/>
  <c r="S11" i="6" s="1"/>
  <c r="V11" i="6"/>
  <c r="R8" i="6"/>
  <c r="S8" i="6" s="1"/>
  <c r="V8" i="6"/>
  <c r="L14" i="6"/>
  <c r="M14" i="6" s="1"/>
  <c r="Q6" i="6"/>
  <c r="M6" i="6"/>
  <c r="N6" i="6" s="1"/>
  <c r="W11" i="6" l="1"/>
  <c r="X11" i="6" s="1"/>
  <c r="AA11" i="6"/>
  <c r="AB11" i="6" s="1"/>
  <c r="AC11" i="6" s="1"/>
  <c r="W10" i="6"/>
  <c r="X10" i="6" s="1"/>
  <c r="AA10" i="6"/>
  <c r="AB10" i="6" s="1"/>
  <c r="AC10" i="6" s="1"/>
  <c r="W8" i="6"/>
  <c r="X8" i="6" s="1"/>
  <c r="AA8" i="6"/>
  <c r="AB8" i="6" s="1"/>
  <c r="AC8" i="6" s="1"/>
  <c r="V6" i="6"/>
  <c r="R6" i="6"/>
  <c r="S6" i="6" s="1"/>
  <c r="Q14" i="6"/>
  <c r="R14" i="6" s="1"/>
  <c r="S14" i="6" s="1"/>
  <c r="N14" i="6"/>
  <c r="V14" i="6" l="1"/>
  <c r="W14" i="6" s="1"/>
  <c r="X14" i="6" s="1"/>
  <c r="AA6" i="6"/>
  <c r="W6" i="6"/>
  <c r="X6" i="6" s="1"/>
  <c r="AA14" i="6" l="1"/>
  <c r="AB14" i="6" s="1"/>
  <c r="AC14" i="6" s="1"/>
  <c r="AB6" i="6"/>
  <c r="AC6" i="6" s="1"/>
</calcChain>
</file>

<file path=xl/sharedStrings.xml><?xml version="1.0" encoding="utf-8"?>
<sst xmlns="http://schemas.openxmlformats.org/spreadsheetml/2006/main" count="101" uniqueCount="73">
  <si>
    <t>Percentage</t>
  </si>
  <si>
    <t>DETAILED SUBCONTRACTOR/CONSULTANT BUDGET</t>
  </si>
  <si>
    <t>ITEM</t>
  </si>
  <si>
    <t>Total  Estimated Costs</t>
  </si>
  <si>
    <t>Units</t>
  </si>
  <si>
    <t>Total</t>
  </si>
  <si>
    <t xml:space="preserve">Rate (Currency) </t>
  </si>
  <si>
    <t>Unit</t>
  </si>
  <si>
    <t>LABOR (rate; level of effort; total)</t>
  </si>
  <si>
    <t xml:space="preserve">Direct Long-Term Staff </t>
  </si>
  <si>
    <t xml:space="preserve">Personnel 1 </t>
  </si>
  <si>
    <t>Personnel 2</t>
  </si>
  <si>
    <t>Direct Short-Term Staff</t>
  </si>
  <si>
    <t>TOTAL OTHER DIRECT COSTS</t>
  </si>
  <si>
    <t>Travel</t>
  </si>
  <si>
    <t xml:space="preserve">Flight </t>
  </si>
  <si>
    <t xml:space="preserve">   Per Diem (M&amp;IE) </t>
  </si>
  <si>
    <t xml:space="preserve">   Per Diem (Lodging)</t>
  </si>
  <si>
    <t xml:space="preserve">Airport Transportation  </t>
  </si>
  <si>
    <t xml:space="preserve">On the ground transportation  </t>
  </si>
  <si>
    <t xml:space="preserve"> </t>
  </si>
  <si>
    <t>Other Direct Costs</t>
  </si>
  <si>
    <t>Communications</t>
  </si>
  <si>
    <t>Office Supplies</t>
  </si>
  <si>
    <t>TOTAL TRAVEL AND OTHER DIRECT COSTS</t>
  </si>
  <si>
    <t>FEE/PROFIT</t>
  </si>
  <si>
    <t>TOTAL FEE/PROFIT</t>
  </si>
  <si>
    <t>TOTAL ESTIMATED COSTS</t>
  </si>
  <si>
    <t>UNIT</t>
  </si>
  <si>
    <t>Program Services Line Item Breakdown</t>
  </si>
  <si>
    <t>No.Units</t>
  </si>
  <si>
    <t xml:space="preserve">Avg. </t>
  </si>
  <si>
    <t>Daily Rate</t>
  </si>
  <si>
    <t>Subtotal</t>
  </si>
  <si>
    <t>Year 1</t>
  </si>
  <si>
    <t>Year 2</t>
  </si>
  <si>
    <t>Year 3</t>
  </si>
  <si>
    <t>Year 4</t>
  </si>
  <si>
    <t>Year 5</t>
  </si>
  <si>
    <t>A.</t>
  </si>
  <si>
    <t xml:space="preserve">Salaries </t>
  </si>
  <si>
    <t>Accounting Staff</t>
  </si>
  <si>
    <t>Program Accountant (Mesfin Tadesse)</t>
  </si>
  <si>
    <t>day</t>
  </si>
  <si>
    <t xml:space="preserve">Procurement Staff </t>
  </si>
  <si>
    <t>Procurement Administrator (Alyssa Thacker)</t>
  </si>
  <si>
    <t xml:space="preserve">day </t>
  </si>
  <si>
    <t xml:space="preserve">Other HQ Staff </t>
  </si>
  <si>
    <t>Help Desk Support Specialist</t>
  </si>
  <si>
    <t xml:space="preserve">HR Generalist </t>
  </si>
  <si>
    <t xml:space="preserve">Internal Review Manager (for audit purposes) </t>
  </si>
  <si>
    <t>Program Services Staff Total Project</t>
  </si>
  <si>
    <t>Total Personnel</t>
  </si>
  <si>
    <t>Instructions:</t>
  </si>
  <si>
    <t>Program Accountant</t>
  </si>
  <si>
    <t>(2 days / month + additional travel days)</t>
  </si>
  <si>
    <t>Procurement Administrator</t>
  </si>
  <si>
    <r>
      <rPr>
        <b/>
        <u/>
        <sz val="10"/>
        <color theme="1"/>
        <rFont val="Arial"/>
        <family val="2"/>
      </rPr>
      <t>Base this on your Procurement Consultation.</t>
    </r>
    <r>
      <rPr>
        <b/>
        <sz val="10"/>
        <color theme="1"/>
        <rFont val="Arial"/>
        <family val="2"/>
      </rPr>
      <t xml:space="preserve"> </t>
    </r>
  </si>
  <si>
    <t>LOE will vary based on size, mechanism, length of award, and partner capacity. Use the below for BOE estimates only.</t>
  </si>
  <si>
    <r>
      <rPr>
        <sz val="10"/>
        <color theme="1"/>
        <rFont val="Arial"/>
        <family val="2"/>
      </rPr>
      <t xml:space="preserve">Subawards: 3.25 days for one Procurement Administrator </t>
    </r>
    <r>
      <rPr>
        <i/>
        <sz val="10"/>
        <color theme="1"/>
        <rFont val="Arial"/>
        <family val="2"/>
      </rPr>
      <t>per subaward per month</t>
    </r>
    <r>
      <rPr>
        <sz val="10"/>
        <color theme="1"/>
        <rFont val="Arial"/>
        <family val="2"/>
      </rPr>
      <t xml:space="preserve"> (only during months the subaward is active). </t>
    </r>
  </si>
  <si>
    <t>Small grants: 0.5 days per grant</t>
  </si>
  <si>
    <t>Contracts: 1.5 per contract</t>
  </si>
  <si>
    <t xml:space="preserve">standard 1 % for total project </t>
  </si>
  <si>
    <t>1 day for each new hire (local + DC)</t>
  </si>
  <si>
    <t>budget 1 week to be split equally amongst all grants</t>
  </si>
  <si>
    <t>AAAAABzf5ck=</t>
  </si>
  <si>
    <t>AAAAABzf5co=</t>
  </si>
  <si>
    <t>AAAAABzf5cs=</t>
  </si>
  <si>
    <t>AAAAABzf5cw=</t>
  </si>
  <si>
    <t>AAAAABzf5c0=</t>
  </si>
  <si>
    <t>AAAAABzf5c4=</t>
  </si>
  <si>
    <r>
      <t>TRAVEL AND OTHER DIRECT COSTS</t>
    </r>
    <r>
      <rPr>
        <b/>
        <sz val="10"/>
        <color rgb="FFFF0000"/>
        <rFont val="Arial"/>
        <family val="2"/>
        <charset val="238"/>
      </rPr>
      <t xml:space="preserve"> - TO BE ORGANIZED AND COVERED BY DT GLOBAL</t>
    </r>
  </si>
  <si>
    <t xml:space="preserve">USAID/Kosovo Investment Promotion and Access to Finance Activity 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</si>
</sst>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"/>
    <numFmt numFmtId="165" formatCode="_-* #,##0.00_-;\-* #,##0.00_-;_-* &quot;-&quot;??_-;_-@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_-* #,##0_-;\-* #,##0_-;_-* &quot;-&quot;??_-;_-@"/>
    <numFmt numFmtId="170" formatCode="&quot;$&quot;#,##0.00"/>
    <numFmt numFmtId="171" formatCode="General_)"/>
  </numFmts>
  <fonts count="20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Courier"/>
      <family val="1"/>
    </font>
    <font>
      <b/>
      <u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1D2C4C"/>
        <bgColor indexed="64"/>
      </patternFill>
    </fill>
    <fill>
      <patternFill patternType="solid">
        <fgColor rgb="FF2659C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6"/>
    <xf numFmtId="44" fontId="4" fillId="0" borderId="6" applyFont="0" applyFill="0" applyBorder="0" applyAlignment="0" applyProtection="0"/>
  </cellStyleXfs>
  <cellXfs count="104">
    <xf numFmtId="0" fontId="0" fillId="0" borderId="0" xfId="0"/>
    <xf numFmtId="164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5" fillId="0" borderId="0" xfId="0" applyFont="1"/>
    <xf numFmtId="168" fontId="2" fillId="0" borderId="0" xfId="0" applyNumberFormat="1" applyFont="1"/>
    <xf numFmtId="9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6" fillId="2" borderId="8" xfId="0" applyFont="1" applyFill="1" applyBorder="1"/>
    <xf numFmtId="164" fontId="2" fillId="0" borderId="2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166" fontId="1" fillId="4" borderId="15" xfId="0" applyNumberFormat="1" applyFont="1" applyFill="1" applyBorder="1"/>
    <xf numFmtId="164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3" fontId="1" fillId="4" borderId="1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2" xfId="0" applyNumberFormat="1" applyFont="1" applyBorder="1"/>
    <xf numFmtId="165" fontId="2" fillId="0" borderId="2" xfId="0" applyNumberFormat="1" applyFont="1" applyBorder="1" applyAlignment="1">
      <alignment horizontal="center"/>
    </xf>
    <xf numFmtId="168" fontId="2" fillId="5" borderId="5" xfId="0" applyNumberFormat="1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right"/>
    </xf>
    <xf numFmtId="9" fontId="6" fillId="2" borderId="9" xfId="0" applyNumberFormat="1" applyFont="1" applyFill="1" applyBorder="1" applyAlignment="1">
      <alignment horizontal="center"/>
    </xf>
    <xf numFmtId="168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44" fontId="2" fillId="0" borderId="0" xfId="0" applyNumberFormat="1" applyFont="1"/>
    <xf numFmtId="0" fontId="9" fillId="0" borderId="0" xfId="0" applyFont="1"/>
    <xf numFmtId="44" fontId="3" fillId="0" borderId="0" xfId="0" applyNumberFormat="1" applyFont="1"/>
    <xf numFmtId="171" fontId="10" fillId="0" borderId="0" xfId="0" applyNumberFormat="1" applyFont="1"/>
    <xf numFmtId="9" fontId="3" fillId="0" borderId="0" xfId="0" applyNumberFormat="1" applyFont="1"/>
    <xf numFmtId="0" fontId="13" fillId="6" borderId="28" xfId="3" applyFont="1" applyFill="1" applyBorder="1" applyAlignment="1">
      <alignment vertical="center" wrapText="1"/>
    </xf>
    <xf numFmtId="0" fontId="4" fillId="0" borderId="6" xfId="3"/>
    <xf numFmtId="0" fontId="4" fillId="8" borderId="24" xfId="3" applyFill="1" applyBorder="1"/>
    <xf numFmtId="0" fontId="15" fillId="0" borderId="6" xfId="3" applyFont="1"/>
    <xf numFmtId="0" fontId="15" fillId="9" borderId="30" xfId="3" applyFont="1" applyFill="1" applyBorder="1" applyAlignment="1">
      <alignment vertical="center" wrapText="1"/>
    </xf>
    <xf numFmtId="167" fontId="0" fillId="9" borderId="30" xfId="4" applyNumberFormat="1" applyFont="1" applyFill="1" applyBorder="1"/>
    <xf numFmtId="167" fontId="0" fillId="0" borderId="6" xfId="4" applyNumberFormat="1" applyFont="1"/>
    <xf numFmtId="0" fontId="18" fillId="0" borderId="30" xfId="3" applyFont="1" applyBorder="1" applyAlignment="1">
      <alignment horizontal="left"/>
    </xf>
    <xf numFmtId="0" fontId="4" fillId="0" borderId="30" xfId="3" applyBorder="1"/>
    <xf numFmtId="0" fontId="4" fillId="0" borderId="30" xfId="3" applyBorder="1" applyAlignment="1">
      <alignment horizontal="left" indent="1"/>
    </xf>
    <xf numFmtId="44" fontId="4" fillId="0" borderId="30" xfId="1" applyFont="1" applyBorder="1"/>
    <xf numFmtId="44" fontId="4" fillId="0" borderId="30" xfId="3" applyNumberFormat="1" applyBorder="1"/>
    <xf numFmtId="1" fontId="4" fillId="0" borderId="30" xfId="3" applyNumberFormat="1" applyBorder="1"/>
    <xf numFmtId="0" fontId="14" fillId="10" borderId="30" xfId="3" applyFont="1" applyFill="1" applyBorder="1"/>
    <xf numFmtId="44" fontId="14" fillId="10" borderId="30" xfId="3" applyNumberFormat="1" applyFont="1" applyFill="1" applyBorder="1"/>
    <xf numFmtId="44" fontId="14" fillId="10" borderId="30" xfId="1" applyFont="1" applyFill="1" applyBorder="1"/>
    <xf numFmtId="0" fontId="4" fillId="9" borderId="30" xfId="3" applyFill="1" applyBorder="1"/>
    <xf numFmtId="9" fontId="4" fillId="0" borderId="30" xfId="2" applyFont="1" applyBorder="1"/>
    <xf numFmtId="0" fontId="15" fillId="9" borderId="30" xfId="3" applyFont="1" applyFill="1" applyBorder="1"/>
    <xf numFmtId="0" fontId="18" fillId="0" borderId="30" xfId="3" applyFont="1" applyBorder="1"/>
    <xf numFmtId="44" fontId="4" fillId="0" borderId="30" xfId="1" applyFont="1" applyFill="1" applyBorder="1"/>
    <xf numFmtId="0" fontId="15" fillId="0" borderId="30" xfId="3" applyFont="1" applyBorder="1"/>
    <xf numFmtId="0" fontId="14" fillId="10" borderId="26" xfId="3" applyFont="1" applyFill="1" applyBorder="1"/>
    <xf numFmtId="44" fontId="14" fillId="10" borderId="26" xfId="3" applyNumberFormat="1" applyFont="1" applyFill="1" applyBorder="1"/>
    <xf numFmtId="167" fontId="16" fillId="10" borderId="26" xfId="4" applyNumberFormat="1" applyFont="1" applyFill="1" applyBorder="1"/>
    <xf numFmtId="167" fontId="17" fillId="10" borderId="26" xfId="4" applyNumberFormat="1" applyFont="1" applyFill="1" applyBorder="1"/>
    <xf numFmtId="0" fontId="3" fillId="0" borderId="0" xfId="0" applyFont="1" applyAlignment="1">
      <alignment horizontal="left" wrapText="1"/>
    </xf>
    <xf numFmtId="44" fontId="15" fillId="0" borderId="6" xfId="3" applyNumberFormat="1" applyFont="1"/>
    <xf numFmtId="0" fontId="2" fillId="3" borderId="6" xfId="0" applyFont="1" applyFill="1" applyBorder="1"/>
    <xf numFmtId="0" fontId="2" fillId="3" borderId="6" xfId="0" applyFont="1" applyFill="1" applyBorder="1" applyAlignment="1">
      <alignment horizontal="left"/>
    </xf>
    <xf numFmtId="168" fontId="2" fillId="0" borderId="5" xfId="0" applyNumberFormat="1" applyFont="1" applyBorder="1"/>
    <xf numFmtId="168" fontId="2" fillId="0" borderId="5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164" fontId="2" fillId="5" borderId="6" xfId="0" applyNumberFormat="1" applyFont="1" applyFill="1" applyBorder="1"/>
    <xf numFmtId="168" fontId="2" fillId="5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top"/>
    </xf>
    <xf numFmtId="0" fontId="7" fillId="3" borderId="6" xfId="0" applyFont="1" applyFill="1" applyBorder="1" applyAlignment="1">
      <alignment horizontal="left" wrapText="1"/>
    </xf>
    <xf numFmtId="0" fontId="6" fillId="2" borderId="10" xfId="0" applyFont="1" applyFill="1" applyBorder="1"/>
    <xf numFmtId="0" fontId="6" fillId="2" borderId="10" xfId="0" applyFont="1" applyFill="1" applyBorder="1" applyAlignment="1">
      <alignment horizontal="left" wrapText="1"/>
    </xf>
    <xf numFmtId="168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/>
    <xf numFmtId="164" fontId="6" fillId="2" borderId="10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/>
    </xf>
    <xf numFmtId="0" fontId="15" fillId="8" borderId="25" xfId="3" applyFont="1" applyFill="1" applyBorder="1" applyAlignment="1">
      <alignment horizontal="center" vertical="center"/>
    </xf>
    <xf numFmtId="0" fontId="15" fillId="8" borderId="26" xfId="3" applyFont="1" applyFill="1" applyBorder="1" applyAlignment="1">
      <alignment horizontal="center" vertical="center"/>
    </xf>
    <xf numFmtId="0" fontId="4" fillId="8" borderId="26" xfId="3" applyFill="1" applyBorder="1" applyAlignment="1">
      <alignment horizontal="center" vertical="center"/>
    </xf>
    <xf numFmtId="0" fontId="13" fillId="6" borderId="27" xfId="3" applyFont="1" applyFill="1" applyBorder="1" applyAlignment="1">
      <alignment horizontal="left" vertical="center" wrapText="1"/>
    </xf>
    <xf numFmtId="0" fontId="13" fillId="6" borderId="28" xfId="3" applyFont="1" applyFill="1" applyBorder="1" applyAlignment="1">
      <alignment horizontal="left" vertical="center" wrapText="1"/>
    </xf>
    <xf numFmtId="0" fontId="14" fillId="7" borderId="28" xfId="3" applyFont="1" applyFill="1" applyBorder="1" applyAlignment="1">
      <alignment horizontal="left"/>
    </xf>
    <xf numFmtId="0" fontId="15" fillId="8" borderId="27" xfId="3" applyFont="1" applyFill="1" applyBorder="1" applyAlignment="1">
      <alignment horizontal="center"/>
    </xf>
    <xf numFmtId="0" fontId="15" fillId="8" borderId="28" xfId="3" applyFont="1" applyFill="1" applyBorder="1" applyAlignment="1">
      <alignment horizontal="center"/>
    </xf>
    <xf numFmtId="0" fontId="15" fillId="8" borderId="29" xfId="3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3" xfId="0" applyFont="1" applyBorder="1"/>
    <xf numFmtId="0" fontId="1" fillId="4" borderId="12" xfId="0" applyFont="1" applyFill="1" applyBorder="1" applyAlignment="1">
      <alignment horizontal="center"/>
    </xf>
    <xf numFmtId="0" fontId="4" fillId="0" borderId="10" xfId="0" applyFont="1" applyBorder="1"/>
    <xf numFmtId="168" fontId="2" fillId="4" borderId="19" xfId="0" applyNumberFormat="1" applyFont="1" applyFill="1" applyBorder="1" applyAlignment="1">
      <alignment horizontal="center"/>
    </xf>
    <xf numFmtId="0" fontId="4" fillId="0" borderId="22" xfId="0" applyFont="1" applyBorder="1"/>
    <xf numFmtId="168" fontId="2" fillId="4" borderId="20" xfId="0" applyNumberFormat="1" applyFont="1" applyFill="1" applyBorder="1" applyAlignment="1">
      <alignment horizontal="center"/>
    </xf>
    <xf numFmtId="0" fontId="4" fillId="0" borderId="21" xfId="0" applyFont="1" applyBorder="1"/>
    <xf numFmtId="168" fontId="2" fillId="5" borderId="20" xfId="0" applyNumberFormat="1" applyFont="1" applyFill="1" applyBorder="1" applyAlignment="1">
      <alignment horizontal="center"/>
    </xf>
    <xf numFmtId="168" fontId="2" fillId="5" borderId="22" xfId="0" applyNumberFormat="1" applyFont="1" applyFill="1" applyBorder="1" applyAlignment="1">
      <alignment horizontal="center"/>
    </xf>
    <xf numFmtId="0" fontId="4" fillId="0" borderId="23" xfId="0" applyFont="1" applyBorder="1"/>
    <xf numFmtId="168" fontId="2" fillId="5" borderId="19" xfId="0" applyNumberFormat="1" applyFont="1" applyFill="1" applyBorder="1" applyAlignment="1">
      <alignment horizontal="center"/>
    </xf>
  </cellXfs>
  <cellStyles count="5">
    <cellStyle name="Currency" xfId="1" builtinId="4"/>
    <cellStyle name="Currency 2" xfId="4" xr:uid="{FCE5768D-7797-0A48-A133-887200F4D4D1}"/>
    <cellStyle name="Normal" xfId="0" builtinId="0"/>
    <cellStyle name="Normal 2" xfId="3" xr:uid="{F4C2A0F1-0526-C145-92EF-6D0A8204932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8BE9-9F07-EC49-841C-3F90D25A71B8}">
  <dimension ref="A1:G34"/>
  <sheetViews>
    <sheetView tabSelected="1" workbookViewId="0">
      <selection activeCell="F8" sqref="F8"/>
    </sheetView>
  </sheetViews>
  <sheetFormatPr defaultColWidth="8.85546875" defaultRowHeight="12.75" x14ac:dyDescent="0.2"/>
  <cols>
    <col min="1" max="1" width="60.42578125" style="39" customWidth="1"/>
    <col min="2" max="2" width="14.28515625" style="39" bestFit="1" customWidth="1"/>
    <col min="3" max="3" width="12.42578125" style="39" customWidth="1"/>
    <col min="4" max="4" width="12.42578125" style="39" bestFit="1" customWidth="1"/>
    <col min="5" max="5" width="12.42578125" style="39" customWidth="1"/>
    <col min="6" max="6" width="13" style="39" customWidth="1"/>
    <col min="7" max="7" width="12.140625" style="39" bestFit="1" customWidth="1"/>
    <col min="8" max="16384" width="8.85546875" style="39"/>
  </cols>
  <sheetData>
    <row r="1" spans="1:7" ht="50.45" customHeight="1" x14ac:dyDescent="0.2">
      <c r="A1" s="85" t="s">
        <v>72</v>
      </c>
      <c r="B1" s="86"/>
      <c r="C1" s="86"/>
      <c r="D1" s="86"/>
      <c r="E1" s="38"/>
      <c r="F1" s="38"/>
    </row>
    <row r="2" spans="1:7" x14ac:dyDescent="0.2">
      <c r="A2" s="87" t="s">
        <v>1</v>
      </c>
      <c r="B2" s="87"/>
      <c r="C2" s="87"/>
      <c r="D2" s="87"/>
      <c r="E2" s="87"/>
      <c r="F2" s="87"/>
    </row>
    <row r="3" spans="1:7" x14ac:dyDescent="0.2">
      <c r="A3" s="82" t="s">
        <v>2</v>
      </c>
      <c r="B3" s="88" t="s">
        <v>3</v>
      </c>
      <c r="C3" s="89"/>
      <c r="D3" s="90"/>
      <c r="E3" s="82" t="s">
        <v>4</v>
      </c>
      <c r="F3" s="82" t="s">
        <v>5</v>
      </c>
    </row>
    <row r="4" spans="1:7" x14ac:dyDescent="0.2">
      <c r="A4" s="83"/>
      <c r="B4" s="40" t="s">
        <v>6</v>
      </c>
      <c r="C4" s="40" t="s">
        <v>7</v>
      </c>
      <c r="D4" s="40" t="s">
        <v>5</v>
      </c>
      <c r="E4" s="83"/>
      <c r="F4" s="84"/>
      <c r="G4" s="41"/>
    </row>
    <row r="5" spans="1:7" x14ac:dyDescent="0.2">
      <c r="A5" s="42" t="s">
        <v>8</v>
      </c>
      <c r="B5" s="43"/>
      <c r="C5" s="43"/>
      <c r="D5" s="43"/>
      <c r="E5" s="43"/>
      <c r="F5" s="43"/>
      <c r="G5" s="44"/>
    </row>
    <row r="6" spans="1:7" x14ac:dyDescent="0.2">
      <c r="A6" s="45" t="s">
        <v>9</v>
      </c>
      <c r="B6" s="46"/>
      <c r="C6" s="46"/>
      <c r="D6" s="46"/>
      <c r="E6" s="46"/>
      <c r="F6" s="46"/>
    </row>
    <row r="7" spans="1:7" x14ac:dyDescent="0.2">
      <c r="A7" s="47" t="s">
        <v>10</v>
      </c>
      <c r="B7" s="48">
        <v>0</v>
      </c>
      <c r="C7" s="46">
        <v>0</v>
      </c>
      <c r="D7" s="49">
        <f>B7*C7</f>
        <v>0</v>
      </c>
      <c r="E7" s="50">
        <f>C7</f>
        <v>0</v>
      </c>
      <c r="F7" s="49">
        <f>SUM(D7)</f>
        <v>0</v>
      </c>
    </row>
    <row r="8" spans="1:7" x14ac:dyDescent="0.2">
      <c r="A8" s="47" t="s">
        <v>11</v>
      </c>
      <c r="B8" s="48">
        <v>0</v>
      </c>
      <c r="C8" s="46">
        <v>0</v>
      </c>
      <c r="D8" s="49">
        <f>B8*C8</f>
        <v>0</v>
      </c>
      <c r="E8" s="50">
        <f>C8</f>
        <v>0</v>
      </c>
      <c r="F8" s="49">
        <f>SUM(D8)</f>
        <v>0</v>
      </c>
    </row>
    <row r="9" spans="1:7" x14ac:dyDescent="0.2">
      <c r="A9" s="47"/>
      <c r="B9" s="48"/>
      <c r="C9" s="46"/>
      <c r="D9" s="49"/>
      <c r="E9" s="50"/>
      <c r="F9" s="49"/>
    </row>
    <row r="10" spans="1:7" x14ac:dyDescent="0.2">
      <c r="A10" s="45" t="s">
        <v>12</v>
      </c>
      <c r="B10" s="46"/>
      <c r="C10" s="46"/>
      <c r="D10" s="46"/>
      <c r="E10" s="46"/>
      <c r="F10" s="46"/>
    </row>
    <row r="11" spans="1:7" x14ac:dyDescent="0.2">
      <c r="A11" s="47"/>
      <c r="B11" s="48">
        <v>0</v>
      </c>
      <c r="C11" s="46">
        <v>10</v>
      </c>
      <c r="D11" s="49">
        <f>B11*C11</f>
        <v>0</v>
      </c>
      <c r="E11" s="50">
        <f>C11</f>
        <v>10</v>
      </c>
      <c r="F11" s="49">
        <f>SUM(D11)</f>
        <v>0</v>
      </c>
    </row>
    <row r="12" spans="1:7" x14ac:dyDescent="0.2">
      <c r="A12" s="47"/>
      <c r="B12" s="48">
        <v>0</v>
      </c>
      <c r="C12" s="46">
        <v>10</v>
      </c>
      <c r="D12" s="49">
        <f>B12*C12</f>
        <v>0</v>
      </c>
      <c r="E12" s="50">
        <f>C12</f>
        <v>10</v>
      </c>
      <c r="F12" s="49">
        <f>SUM(D12)</f>
        <v>0</v>
      </c>
    </row>
    <row r="13" spans="1:7" x14ac:dyDescent="0.2">
      <c r="A13" s="47"/>
      <c r="B13" s="48"/>
      <c r="C13" s="46"/>
      <c r="D13" s="49"/>
      <c r="E13" s="50"/>
      <c r="F13" s="49"/>
    </row>
    <row r="14" spans="1:7" x14ac:dyDescent="0.2">
      <c r="A14" s="51" t="s">
        <v>13</v>
      </c>
      <c r="B14" s="51"/>
      <c r="C14" s="51"/>
      <c r="D14" s="52">
        <f>SUM(D7:D12)</f>
        <v>0</v>
      </c>
      <c r="E14" s="51"/>
      <c r="F14" s="52">
        <f>SUM(F7:F12)</f>
        <v>0</v>
      </c>
    </row>
    <row r="15" spans="1:7" x14ac:dyDescent="0.2">
      <c r="A15" s="56" t="s">
        <v>71</v>
      </c>
      <c r="B15" s="54"/>
      <c r="C15" s="54"/>
      <c r="D15" s="54"/>
      <c r="E15" s="54"/>
      <c r="F15" s="54"/>
    </row>
    <row r="16" spans="1:7" x14ac:dyDescent="0.2">
      <c r="A16" s="57" t="s">
        <v>14</v>
      </c>
      <c r="B16" s="46"/>
      <c r="C16" s="46"/>
      <c r="D16" s="46"/>
      <c r="E16" s="46"/>
      <c r="F16" s="46"/>
    </row>
    <row r="17" spans="1:7" x14ac:dyDescent="0.2">
      <c r="A17" s="47" t="s">
        <v>15</v>
      </c>
      <c r="B17" s="58">
        <v>0</v>
      </c>
      <c r="C17" s="46">
        <v>0</v>
      </c>
      <c r="D17" s="49">
        <f t="shared" ref="D17:D21" si="0">B17*C17</f>
        <v>0</v>
      </c>
      <c r="E17" s="46"/>
      <c r="F17" s="49">
        <f>SUM(D17)</f>
        <v>0</v>
      </c>
    </row>
    <row r="18" spans="1:7" x14ac:dyDescent="0.2">
      <c r="A18" s="64" t="s">
        <v>16</v>
      </c>
      <c r="B18" s="58">
        <v>0</v>
      </c>
      <c r="C18" s="46">
        <v>0</v>
      </c>
      <c r="D18" s="49">
        <f t="shared" si="0"/>
        <v>0</v>
      </c>
      <c r="E18" s="46"/>
      <c r="F18" s="49">
        <f t="shared" ref="F18:F21" si="1">SUM(D18)</f>
        <v>0</v>
      </c>
    </row>
    <row r="19" spans="1:7" x14ac:dyDescent="0.2">
      <c r="A19" s="64" t="s">
        <v>17</v>
      </c>
      <c r="B19" s="58">
        <v>0</v>
      </c>
      <c r="C19" s="46">
        <v>0</v>
      </c>
      <c r="D19" s="49">
        <f t="shared" si="0"/>
        <v>0</v>
      </c>
      <c r="E19" s="46"/>
      <c r="F19" s="49">
        <f t="shared" si="1"/>
        <v>0</v>
      </c>
    </row>
    <row r="20" spans="1:7" x14ac:dyDescent="0.2">
      <c r="A20" s="64" t="s">
        <v>18</v>
      </c>
      <c r="B20" s="58">
        <v>0</v>
      </c>
      <c r="C20" s="46">
        <v>0</v>
      </c>
      <c r="D20" s="49">
        <f t="shared" si="0"/>
        <v>0</v>
      </c>
      <c r="E20" s="46"/>
      <c r="F20" s="49">
        <f t="shared" si="1"/>
        <v>0</v>
      </c>
    </row>
    <row r="21" spans="1:7" x14ac:dyDescent="0.2">
      <c r="A21" s="64" t="s">
        <v>19</v>
      </c>
      <c r="B21" s="58">
        <v>0</v>
      </c>
      <c r="C21" s="46">
        <v>0</v>
      </c>
      <c r="D21" s="49">
        <f t="shared" si="0"/>
        <v>0</v>
      </c>
      <c r="E21" s="46"/>
      <c r="F21" s="49">
        <f t="shared" si="1"/>
        <v>0</v>
      </c>
      <c r="G21" s="65" t="s">
        <v>20</v>
      </c>
    </row>
    <row r="22" spans="1:7" x14ac:dyDescent="0.2">
      <c r="A22" s="47"/>
      <c r="B22" s="58"/>
      <c r="C22" s="46"/>
      <c r="D22" s="49"/>
      <c r="E22" s="46"/>
      <c r="F22" s="49"/>
    </row>
    <row r="23" spans="1:7" x14ac:dyDescent="0.2">
      <c r="A23" s="57" t="s">
        <v>21</v>
      </c>
      <c r="B23" s="46"/>
      <c r="C23" s="46"/>
      <c r="D23" s="46"/>
      <c r="E23" s="46"/>
      <c r="F23" s="46"/>
    </row>
    <row r="24" spans="1:7" x14ac:dyDescent="0.2">
      <c r="A24" s="59"/>
      <c r="B24" s="58">
        <v>0</v>
      </c>
      <c r="C24" s="46">
        <v>0</v>
      </c>
      <c r="D24" s="49">
        <f>B24*C24</f>
        <v>0</v>
      </c>
      <c r="E24" s="46"/>
      <c r="F24" s="49">
        <f t="shared" ref="F24:F28" si="2">SUM(D24)</f>
        <v>0</v>
      </c>
    </row>
    <row r="25" spans="1:7" x14ac:dyDescent="0.2">
      <c r="A25" s="59" t="s">
        <v>22</v>
      </c>
      <c r="B25" s="58">
        <v>0</v>
      </c>
      <c r="C25" s="46">
        <v>0</v>
      </c>
      <c r="D25" s="49">
        <f t="shared" ref="D25:D28" si="3">B25*C25</f>
        <v>0</v>
      </c>
      <c r="E25" s="46"/>
      <c r="F25" s="49">
        <f t="shared" si="2"/>
        <v>0</v>
      </c>
    </row>
    <row r="26" spans="1:7" x14ac:dyDescent="0.2">
      <c r="A26" s="59" t="s">
        <v>23</v>
      </c>
      <c r="B26" s="58">
        <v>0</v>
      </c>
      <c r="C26" s="46">
        <v>0</v>
      </c>
      <c r="D26" s="49">
        <f t="shared" si="3"/>
        <v>0</v>
      </c>
      <c r="E26" s="46"/>
      <c r="F26" s="49">
        <f t="shared" si="2"/>
        <v>0</v>
      </c>
    </row>
    <row r="27" spans="1:7" x14ac:dyDescent="0.2">
      <c r="A27" s="59"/>
      <c r="B27" s="58">
        <v>0</v>
      </c>
      <c r="C27" s="46">
        <v>0</v>
      </c>
      <c r="D27" s="49">
        <f t="shared" si="3"/>
        <v>0</v>
      </c>
      <c r="E27" s="46"/>
      <c r="F27" s="49">
        <f t="shared" si="2"/>
        <v>0</v>
      </c>
    </row>
    <row r="28" spans="1:7" x14ac:dyDescent="0.2">
      <c r="A28" s="59"/>
      <c r="B28" s="58">
        <v>0</v>
      </c>
      <c r="C28" s="46">
        <v>0</v>
      </c>
      <c r="D28" s="49">
        <f t="shared" si="3"/>
        <v>0</v>
      </c>
      <c r="E28" s="46"/>
      <c r="F28" s="49">
        <f t="shared" si="2"/>
        <v>0</v>
      </c>
    </row>
    <row r="29" spans="1:7" x14ac:dyDescent="0.2">
      <c r="A29"/>
      <c r="B29" s="46"/>
      <c r="C29" s="46"/>
      <c r="D29" s="46"/>
      <c r="E29" s="46"/>
      <c r="F29" s="46"/>
    </row>
    <row r="30" spans="1:7" x14ac:dyDescent="0.2">
      <c r="A30" s="51" t="s">
        <v>24</v>
      </c>
      <c r="B30" s="51"/>
      <c r="C30" s="51"/>
      <c r="D30" s="53">
        <f>SUM(D16:D29)</f>
        <v>0</v>
      </c>
      <c r="E30" s="51"/>
      <c r="F30" s="53">
        <f>SUM(F16:F29)</f>
        <v>0</v>
      </c>
    </row>
    <row r="31" spans="1:7" x14ac:dyDescent="0.2">
      <c r="A31" s="56" t="s">
        <v>25</v>
      </c>
      <c r="B31" s="54"/>
      <c r="C31" s="54"/>
      <c r="D31" s="54"/>
      <c r="E31" s="54"/>
      <c r="F31" s="54"/>
    </row>
    <row r="32" spans="1:7" x14ac:dyDescent="0.2">
      <c r="A32" s="46"/>
      <c r="B32" s="55">
        <v>0</v>
      </c>
      <c r="C32" s="50">
        <f>+D14+D30</f>
        <v>0</v>
      </c>
      <c r="D32" s="48">
        <f>B32*C32</f>
        <v>0</v>
      </c>
      <c r="E32" s="46"/>
      <c r="F32" s="49">
        <f>SUM(D32)</f>
        <v>0</v>
      </c>
    </row>
    <row r="33" spans="1:7" x14ac:dyDescent="0.2">
      <c r="A33" s="60" t="s">
        <v>26</v>
      </c>
      <c r="B33" s="60"/>
      <c r="C33" s="60"/>
      <c r="D33" s="61">
        <f>SUM(D32)</f>
        <v>0</v>
      </c>
      <c r="E33" s="60"/>
      <c r="F33" s="61">
        <f>SUM(F32)</f>
        <v>0</v>
      </c>
    </row>
    <row r="34" spans="1:7" ht="15" x14ac:dyDescent="0.25">
      <c r="A34" s="60" t="s">
        <v>27</v>
      </c>
      <c r="B34" s="62"/>
      <c r="C34" s="62"/>
      <c r="D34" s="63">
        <f>D14+D30+D33</f>
        <v>0</v>
      </c>
      <c r="E34" s="63"/>
      <c r="F34" s="63">
        <f>F14+F30+F33</f>
        <v>0</v>
      </c>
      <c r="G34" s="44"/>
    </row>
  </sheetData>
  <mergeCells count="6">
    <mergeCell ref="A1:D1"/>
    <mergeCell ref="A2:F2"/>
    <mergeCell ref="A3:A4"/>
    <mergeCell ref="B3:D3"/>
    <mergeCell ref="E3:E4"/>
    <mergeCell ref="F3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000"/>
  <sheetViews>
    <sheetView workbookViewId="0"/>
  </sheetViews>
  <sheetFormatPr defaultColWidth="12.5703125" defaultRowHeight="15" customHeight="1" x14ac:dyDescent="0.2"/>
  <cols>
    <col min="1" max="2" width="5.140625" customWidth="1"/>
    <col min="3" max="3" width="53.140625" customWidth="1"/>
    <col min="4" max="4" width="16.140625" customWidth="1"/>
    <col min="5" max="5" width="12.140625" customWidth="1"/>
    <col min="6" max="6" width="13.85546875" customWidth="1"/>
    <col min="7" max="7" width="12.5703125" hidden="1" customWidth="1"/>
    <col min="8" max="8" width="12.140625" customWidth="1"/>
    <col min="9" max="9" width="10.42578125" customWidth="1"/>
    <col min="10" max="10" width="10.5703125" customWidth="1"/>
    <col min="11" max="11" width="13.85546875" customWidth="1"/>
    <col min="12" max="12" width="12.5703125" hidden="1" customWidth="1"/>
    <col min="13" max="13" width="12.140625" customWidth="1"/>
    <col min="14" max="14" width="10.42578125" customWidth="1"/>
    <col min="15" max="15" width="10.5703125" hidden="1" customWidth="1"/>
    <col min="16" max="16" width="13.85546875" hidden="1" customWidth="1"/>
    <col min="17" max="17" width="12.5703125" hidden="1" customWidth="1"/>
    <col min="18" max="18" width="12.140625" hidden="1" customWidth="1"/>
    <col min="19" max="19" width="10.42578125" hidden="1" customWidth="1"/>
    <col min="20" max="20" width="10.5703125" hidden="1" customWidth="1"/>
    <col min="21" max="21" width="13.85546875" hidden="1" customWidth="1"/>
    <col min="22" max="22" width="12.5703125" hidden="1" customWidth="1"/>
    <col min="23" max="23" width="12.140625" hidden="1" customWidth="1"/>
    <col min="24" max="24" width="10.42578125" hidden="1" customWidth="1"/>
    <col min="25" max="25" width="10.5703125" hidden="1" customWidth="1"/>
    <col min="26" max="26" width="13.85546875" hidden="1" customWidth="1"/>
    <col min="27" max="27" width="12.5703125" hidden="1" customWidth="1"/>
    <col min="28" max="28" width="12.140625" hidden="1" customWidth="1"/>
    <col min="29" max="29" width="10.42578125" hidden="1" customWidth="1"/>
  </cols>
  <sheetData>
    <row r="1" spans="1:29" ht="15.75" x14ac:dyDescent="0.25">
      <c r="A1" s="91"/>
      <c r="B1" s="92"/>
      <c r="C1" s="92"/>
      <c r="D1" s="91" t="s">
        <v>28</v>
      </c>
      <c r="E1" s="94" t="s">
        <v>29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29" ht="15.75" x14ac:dyDescent="0.25">
      <c r="A2" s="93"/>
      <c r="B2" s="93"/>
      <c r="C2" s="93"/>
      <c r="D2" s="93"/>
      <c r="E2" s="15" t="s">
        <v>30</v>
      </c>
      <c r="F2" s="16" t="s">
        <v>0</v>
      </c>
      <c r="G2" s="17" t="s">
        <v>31</v>
      </c>
      <c r="H2" s="18" t="s">
        <v>32</v>
      </c>
      <c r="I2" s="18" t="s">
        <v>33</v>
      </c>
      <c r="J2" s="15" t="s">
        <v>30</v>
      </c>
      <c r="K2" s="16" t="s">
        <v>0</v>
      </c>
      <c r="L2" s="17" t="s">
        <v>31</v>
      </c>
      <c r="M2" s="18" t="s">
        <v>32</v>
      </c>
      <c r="N2" s="19" t="s">
        <v>33</v>
      </c>
      <c r="O2" s="15" t="s">
        <v>30</v>
      </c>
      <c r="P2" s="16" t="s">
        <v>0</v>
      </c>
      <c r="Q2" s="17" t="s">
        <v>31</v>
      </c>
      <c r="R2" s="18" t="s">
        <v>32</v>
      </c>
      <c r="S2" s="19" t="s">
        <v>33</v>
      </c>
      <c r="T2" s="20" t="s">
        <v>30</v>
      </c>
      <c r="U2" s="16" t="s">
        <v>0</v>
      </c>
      <c r="V2" s="17" t="s">
        <v>31</v>
      </c>
      <c r="W2" s="18" t="s">
        <v>32</v>
      </c>
      <c r="X2" s="19" t="s">
        <v>33</v>
      </c>
      <c r="Y2" s="15" t="s">
        <v>30</v>
      </c>
      <c r="Z2" s="16" t="s">
        <v>0</v>
      </c>
      <c r="AA2" s="17" t="s">
        <v>31</v>
      </c>
      <c r="AB2" s="18" t="s">
        <v>32</v>
      </c>
      <c r="AC2" s="19" t="s">
        <v>33</v>
      </c>
    </row>
    <row r="3" spans="1:29" x14ac:dyDescent="0.2">
      <c r="A3" s="66"/>
      <c r="B3" s="66"/>
      <c r="C3" s="66"/>
      <c r="D3" s="21"/>
      <c r="E3" s="96" t="s">
        <v>34</v>
      </c>
      <c r="F3" s="97"/>
      <c r="G3" s="97"/>
      <c r="H3" s="97"/>
      <c r="I3" s="97"/>
      <c r="J3" s="98" t="s">
        <v>35</v>
      </c>
      <c r="K3" s="97"/>
      <c r="L3" s="97"/>
      <c r="M3" s="97"/>
      <c r="N3" s="99"/>
      <c r="O3" s="100" t="s">
        <v>36</v>
      </c>
      <c r="P3" s="97"/>
      <c r="Q3" s="97"/>
      <c r="R3" s="97"/>
      <c r="S3" s="99"/>
      <c r="T3" s="101" t="s">
        <v>37</v>
      </c>
      <c r="U3" s="97"/>
      <c r="V3" s="97"/>
      <c r="W3" s="97"/>
      <c r="X3" s="102"/>
      <c r="Y3" s="103" t="s">
        <v>38</v>
      </c>
      <c r="Z3" s="97"/>
      <c r="AA3" s="97"/>
      <c r="AB3" s="97"/>
      <c r="AC3" s="102"/>
    </row>
    <row r="4" spans="1:29" x14ac:dyDescent="0.2">
      <c r="A4" s="66" t="s">
        <v>39</v>
      </c>
      <c r="B4" s="66" t="s">
        <v>40</v>
      </c>
      <c r="C4" s="67"/>
      <c r="D4" s="22"/>
      <c r="E4" s="68"/>
      <c r="F4" s="7"/>
      <c r="G4" s="6"/>
      <c r="H4" s="6"/>
      <c r="I4" s="3"/>
      <c r="J4" s="68"/>
      <c r="K4" s="7"/>
      <c r="L4" s="6"/>
      <c r="M4" s="6"/>
      <c r="N4" s="23"/>
      <c r="O4" s="68"/>
      <c r="P4" s="7"/>
      <c r="Q4" s="6"/>
      <c r="R4" s="6"/>
      <c r="S4" s="23"/>
      <c r="T4" s="6"/>
      <c r="U4" s="7"/>
      <c r="V4" s="6"/>
      <c r="W4" s="6"/>
      <c r="X4" s="23"/>
      <c r="Y4" s="68"/>
      <c r="Z4" s="7"/>
      <c r="AA4" s="6"/>
      <c r="AB4" s="6"/>
      <c r="AC4" s="23"/>
    </row>
    <row r="5" spans="1:29" x14ac:dyDescent="0.2">
      <c r="A5" s="66"/>
      <c r="B5" s="66">
        <v>1</v>
      </c>
      <c r="C5" s="66" t="s">
        <v>41</v>
      </c>
      <c r="D5" s="22"/>
      <c r="E5" s="69"/>
      <c r="F5" s="3"/>
      <c r="G5" s="8"/>
      <c r="H5" s="8"/>
      <c r="I5" s="9"/>
      <c r="J5" s="69"/>
      <c r="K5" s="3"/>
      <c r="L5" s="8"/>
      <c r="M5" s="8"/>
      <c r="N5" s="24"/>
      <c r="O5" s="69"/>
      <c r="P5" s="3"/>
      <c r="Q5" s="8"/>
      <c r="R5" s="8"/>
      <c r="S5" s="24"/>
      <c r="T5" s="8"/>
      <c r="U5" s="3"/>
      <c r="V5" s="8"/>
      <c r="W5" s="8"/>
      <c r="X5" s="24"/>
      <c r="Y5" s="69"/>
      <c r="Z5" s="3"/>
      <c r="AA5" s="8"/>
      <c r="AB5" s="8"/>
      <c r="AC5" s="24"/>
    </row>
    <row r="6" spans="1:29" x14ac:dyDescent="0.2">
      <c r="A6" s="66"/>
      <c r="B6" s="66"/>
      <c r="C6" s="70" t="s">
        <v>42</v>
      </c>
      <c r="D6" s="22" t="s">
        <v>43</v>
      </c>
      <c r="E6" s="69">
        <v>24</v>
      </c>
      <c r="F6" s="3">
        <f>E6/260</f>
        <v>9.2307692307692313E-2</v>
      </c>
      <c r="G6" s="71">
        <f>AVERAGE(73471,88165)</f>
        <v>80818</v>
      </c>
      <c r="H6" s="1">
        <v>211.64</v>
      </c>
      <c r="I6" s="1">
        <f>PRODUCT(H6,E6)</f>
        <v>5079.3599999999997</v>
      </c>
      <c r="J6" s="69">
        <v>12</v>
      </c>
      <c r="K6" s="3">
        <f>J6/130</f>
        <v>9.2307692307692313E-2</v>
      </c>
      <c r="L6" s="71">
        <f>G6*1.05</f>
        <v>84858.900000000009</v>
      </c>
      <c r="M6" s="1">
        <f>L6/260*0.8</f>
        <v>261.10430769230771</v>
      </c>
      <c r="N6" s="12">
        <f>PRODUCT(M6,J6)</f>
        <v>3133.2516923076928</v>
      </c>
      <c r="O6" s="25"/>
      <c r="P6" s="3">
        <f>O6/260</f>
        <v>0</v>
      </c>
      <c r="Q6" s="71">
        <f>L6*1.05</f>
        <v>89101.845000000016</v>
      </c>
      <c r="R6" s="1">
        <f>Q6/260*0.8</f>
        <v>274.15952307692316</v>
      </c>
      <c r="S6" s="12">
        <f>PRODUCT(R6,O6)</f>
        <v>274.15952307692316</v>
      </c>
      <c r="T6" s="72"/>
      <c r="U6" s="3">
        <f>T6/260</f>
        <v>0</v>
      </c>
      <c r="V6" s="71">
        <f>Q6*1.05</f>
        <v>93556.937250000017</v>
      </c>
      <c r="W6" s="1">
        <f>V6/260*0.8</f>
        <v>287.86749923076928</v>
      </c>
      <c r="X6" s="12">
        <f>PRODUCT(W6,T6)</f>
        <v>287.86749923076928</v>
      </c>
      <c r="Y6" s="25"/>
      <c r="Z6" s="3">
        <f>Y6/260</f>
        <v>0</v>
      </c>
      <c r="AA6" s="71">
        <f>V6*1.05</f>
        <v>98234.784112500027</v>
      </c>
      <c r="AB6" s="1">
        <f>AA6/260*0.8</f>
        <v>302.26087419230777</v>
      </c>
      <c r="AC6" s="12">
        <f>PRODUCT(AB6,Y6)</f>
        <v>302.26087419230777</v>
      </c>
    </row>
    <row r="7" spans="1:29" x14ac:dyDescent="0.2">
      <c r="A7" s="66"/>
      <c r="B7" s="66">
        <v>2</v>
      </c>
      <c r="C7" s="66" t="s">
        <v>44</v>
      </c>
      <c r="D7" s="22"/>
      <c r="E7" s="69"/>
      <c r="F7" s="3"/>
      <c r="G7" s="8"/>
      <c r="H7" s="8"/>
      <c r="I7" s="1"/>
      <c r="J7" s="69"/>
      <c r="K7" s="3"/>
      <c r="L7" s="8"/>
      <c r="M7" s="8"/>
      <c r="N7" s="12"/>
      <c r="O7" s="69"/>
      <c r="P7" s="3"/>
      <c r="Q7" s="8"/>
      <c r="R7" s="8"/>
      <c r="S7" s="12"/>
      <c r="T7" s="8"/>
      <c r="U7" s="3"/>
      <c r="V7" s="8"/>
      <c r="W7" s="8"/>
      <c r="X7" s="12"/>
      <c r="Y7" s="69"/>
      <c r="Z7" s="3"/>
      <c r="AA7" s="8"/>
      <c r="AB7" s="8"/>
      <c r="AC7" s="12"/>
    </row>
    <row r="8" spans="1:29" x14ac:dyDescent="0.2">
      <c r="A8" s="66"/>
      <c r="B8" s="73"/>
      <c r="C8" s="70" t="s">
        <v>45</v>
      </c>
      <c r="D8" s="22" t="s">
        <v>46</v>
      </c>
      <c r="E8" s="69">
        <v>38</v>
      </c>
      <c r="F8" s="3">
        <f>E8/260</f>
        <v>0.14615384615384616</v>
      </c>
      <c r="G8" s="71">
        <f>AVERAGE(66792,80150)</f>
        <v>73471</v>
      </c>
      <c r="H8" s="1">
        <v>166.15</v>
      </c>
      <c r="I8" s="1">
        <f>PRODUCT(H8,E8)</f>
        <v>6313.7</v>
      </c>
      <c r="J8" s="69">
        <f>E8/2</f>
        <v>19</v>
      </c>
      <c r="K8" s="3">
        <f>J8/130</f>
        <v>0.14615384615384616</v>
      </c>
      <c r="L8" s="71">
        <f>G8*1.05</f>
        <v>77144.55</v>
      </c>
      <c r="M8" s="1">
        <f>L8/260*0.8</f>
        <v>237.36784615384619</v>
      </c>
      <c r="N8" s="12">
        <f>PRODUCT(M8,J8)</f>
        <v>4509.9890769230778</v>
      </c>
      <c r="O8" s="25"/>
      <c r="P8" s="3">
        <f>O8/260</f>
        <v>0</v>
      </c>
      <c r="Q8" s="71">
        <f>L8*1.05</f>
        <v>81001.777500000011</v>
      </c>
      <c r="R8" s="1">
        <f>Q8/260*0.8</f>
        <v>249.23623846153851</v>
      </c>
      <c r="S8" s="12">
        <f>PRODUCT(R8,O8)</f>
        <v>249.23623846153851</v>
      </c>
      <c r="T8" s="72"/>
      <c r="U8" s="3">
        <f>T8/260</f>
        <v>0</v>
      </c>
      <c r="V8" s="71">
        <f>Q8*1.05</f>
        <v>85051.866375000012</v>
      </c>
      <c r="W8" s="1">
        <f>V8/260*0.8</f>
        <v>261.69805038461544</v>
      </c>
      <c r="X8" s="12">
        <f>PRODUCT(W8,T8)</f>
        <v>261.69805038461544</v>
      </c>
      <c r="Y8" s="25"/>
      <c r="Z8" s="3">
        <f>Y8/260</f>
        <v>0</v>
      </c>
      <c r="AA8" s="71">
        <f>V8*1.05</f>
        <v>89304.459693750017</v>
      </c>
      <c r="AB8" s="1">
        <f>AA8/260*0.8</f>
        <v>274.78295290384625</v>
      </c>
      <c r="AC8" s="12">
        <f>PRODUCT(AB8,Y8)</f>
        <v>274.78295290384625</v>
      </c>
    </row>
    <row r="9" spans="1:29" x14ac:dyDescent="0.2">
      <c r="A9" s="66"/>
      <c r="B9" s="66">
        <v>3</v>
      </c>
      <c r="C9" s="70" t="s">
        <v>47</v>
      </c>
      <c r="D9" s="22"/>
      <c r="E9" s="69"/>
      <c r="F9" s="3"/>
      <c r="G9" s="10"/>
      <c r="H9" s="10"/>
      <c r="I9" s="1"/>
      <c r="J9" s="69"/>
      <c r="K9" s="3"/>
      <c r="L9" s="10"/>
      <c r="M9" s="10"/>
      <c r="N9" s="12"/>
      <c r="O9" s="69"/>
      <c r="P9" s="3"/>
      <c r="Q9" s="10"/>
      <c r="R9" s="10"/>
      <c r="S9" s="12"/>
      <c r="T9" s="8"/>
      <c r="U9" s="3"/>
      <c r="V9" s="10"/>
      <c r="W9" s="10"/>
      <c r="X9" s="12"/>
      <c r="Y9" s="69"/>
      <c r="Z9" s="3"/>
      <c r="AA9" s="10"/>
      <c r="AB9" s="10"/>
      <c r="AC9" s="12"/>
    </row>
    <row r="10" spans="1:29" x14ac:dyDescent="0.2">
      <c r="A10" s="66"/>
      <c r="B10" s="66"/>
      <c r="C10" s="70" t="s">
        <v>48</v>
      </c>
      <c r="D10" s="22" t="s">
        <v>43</v>
      </c>
      <c r="E10" s="69">
        <v>2</v>
      </c>
      <c r="F10" s="3">
        <f t="shared" ref="F10:F12" si="0">E10/260</f>
        <v>7.6923076923076927E-3</v>
      </c>
      <c r="G10" s="1">
        <f>AVERAGE(63654,73040.07)</f>
        <v>68347.035000000003</v>
      </c>
      <c r="H10" s="1">
        <f t="shared" ref="H10:H12" si="1">G10/260*0.8</f>
        <v>210.29856923076923</v>
      </c>
      <c r="I10" s="1">
        <f t="shared" ref="I10:I12" si="2">PRODUCT(H10,E10)</f>
        <v>420.59713846153846</v>
      </c>
      <c r="J10" s="69"/>
      <c r="K10" s="3">
        <f t="shared" ref="K10:K12" si="3">J10/130</f>
        <v>0</v>
      </c>
      <c r="L10" s="1">
        <f t="shared" ref="L10:L12" si="4">G10*1.05</f>
        <v>71764.386750000005</v>
      </c>
      <c r="M10" s="1">
        <f t="shared" ref="M10:M12" si="5">L10/260*0.8</f>
        <v>220.81349769230769</v>
      </c>
      <c r="N10" s="12">
        <f t="shared" ref="N10:N12" si="6">PRODUCT(M10,J10)</f>
        <v>220.81349769230769</v>
      </c>
      <c r="O10" s="69"/>
      <c r="P10" s="3">
        <f t="shared" ref="P10:P12" si="7">O10/260</f>
        <v>0</v>
      </c>
      <c r="Q10" s="1">
        <f t="shared" ref="Q10:Q12" si="8">L10*1.05</f>
        <v>75352.606087500011</v>
      </c>
      <c r="R10" s="1">
        <f t="shared" ref="R10:R12" si="9">Q10/260*0.8</f>
        <v>231.85417257692313</v>
      </c>
      <c r="S10" s="12">
        <f t="shared" ref="S10:S12" si="10">PRODUCT(R10,O10)</f>
        <v>231.85417257692313</v>
      </c>
      <c r="T10" s="8"/>
      <c r="U10" s="3">
        <f t="shared" ref="U10:U12" si="11">T10/260</f>
        <v>0</v>
      </c>
      <c r="V10" s="1">
        <f t="shared" ref="V10:V12" si="12">Q10*1.05</f>
        <v>79120.23639187502</v>
      </c>
      <c r="W10" s="1">
        <f t="shared" ref="W10:W12" si="13">V10/260*0.8</f>
        <v>243.4468812057693</v>
      </c>
      <c r="X10" s="12">
        <f t="shared" ref="X10:X12" si="14">PRODUCT(W10,T10)</f>
        <v>243.4468812057693</v>
      </c>
      <c r="Y10" s="69"/>
      <c r="Z10" s="3">
        <f t="shared" ref="Z10:Z12" si="15">Y10/260</f>
        <v>0</v>
      </c>
      <c r="AA10" s="1">
        <f t="shared" ref="AA10:AA12" si="16">V10*1.05</f>
        <v>83076.248211468774</v>
      </c>
      <c r="AB10" s="1">
        <f t="shared" ref="AB10:AB12" si="17">AA10/260*0.8</f>
        <v>255.61922526605778</v>
      </c>
      <c r="AC10" s="12">
        <f t="shared" ref="AC10:AC12" si="18">PRODUCT(AB10,Y10)</f>
        <v>255.61922526605778</v>
      </c>
    </row>
    <row r="11" spans="1:29" x14ac:dyDescent="0.2">
      <c r="A11" s="66"/>
      <c r="B11" s="66"/>
      <c r="C11" s="70" t="s">
        <v>49</v>
      </c>
      <c r="D11" s="22" t="s">
        <v>43</v>
      </c>
      <c r="E11" s="69">
        <v>2</v>
      </c>
      <c r="F11" s="3">
        <f t="shared" si="0"/>
        <v>7.6923076923076927E-3</v>
      </c>
      <c r="G11" s="1">
        <f>AVERAGE(80150,96180)</f>
        <v>88165</v>
      </c>
      <c r="H11" s="1">
        <f t="shared" si="1"/>
        <v>271.27692307692308</v>
      </c>
      <c r="I11" s="1">
        <f t="shared" si="2"/>
        <v>542.55384615384617</v>
      </c>
      <c r="J11" s="69"/>
      <c r="K11" s="3">
        <f t="shared" si="3"/>
        <v>0</v>
      </c>
      <c r="L11" s="1">
        <f t="shared" si="4"/>
        <v>92573.25</v>
      </c>
      <c r="M11" s="1">
        <f t="shared" si="5"/>
        <v>284.84076923076924</v>
      </c>
      <c r="N11" s="12">
        <f t="shared" si="6"/>
        <v>284.84076923076924</v>
      </c>
      <c r="O11" s="69"/>
      <c r="P11" s="3">
        <f t="shared" si="7"/>
        <v>0</v>
      </c>
      <c r="Q11" s="1">
        <f t="shared" si="8"/>
        <v>97201.912500000006</v>
      </c>
      <c r="R11" s="1">
        <f t="shared" si="9"/>
        <v>299.08280769230771</v>
      </c>
      <c r="S11" s="12">
        <f t="shared" si="10"/>
        <v>299.08280769230771</v>
      </c>
      <c r="T11" s="8"/>
      <c r="U11" s="3">
        <f t="shared" si="11"/>
        <v>0</v>
      </c>
      <c r="V11" s="1">
        <f t="shared" si="12"/>
        <v>102062.00812500001</v>
      </c>
      <c r="W11" s="1">
        <f t="shared" si="13"/>
        <v>314.03694807692312</v>
      </c>
      <c r="X11" s="12">
        <f t="shared" si="14"/>
        <v>314.03694807692312</v>
      </c>
      <c r="Y11" s="69"/>
      <c r="Z11" s="3">
        <f t="shared" si="15"/>
        <v>0</v>
      </c>
      <c r="AA11" s="1">
        <f t="shared" si="16"/>
        <v>107165.10853125001</v>
      </c>
      <c r="AB11" s="1">
        <f t="shared" si="17"/>
        <v>329.73879548076928</v>
      </c>
      <c r="AC11" s="12">
        <f t="shared" si="18"/>
        <v>329.73879548076928</v>
      </c>
    </row>
    <row r="12" spans="1:29" x14ac:dyDescent="0.2">
      <c r="A12" s="66"/>
      <c r="B12" s="66"/>
      <c r="C12" s="70" t="s">
        <v>50</v>
      </c>
      <c r="D12" s="22" t="s">
        <v>43</v>
      </c>
      <c r="E12" s="69">
        <f>7/2</f>
        <v>3.5</v>
      </c>
      <c r="F12" s="3">
        <f t="shared" si="0"/>
        <v>1.3461538461538462E-2</v>
      </c>
      <c r="G12" s="1">
        <f>AVERAGE(92481,120226)</f>
        <v>106353.5</v>
      </c>
      <c r="H12" s="1">
        <f t="shared" si="1"/>
        <v>327.24153846153848</v>
      </c>
      <c r="I12" s="1">
        <f t="shared" si="2"/>
        <v>1145.3453846153848</v>
      </c>
      <c r="J12" s="69"/>
      <c r="K12" s="3">
        <f t="shared" si="3"/>
        <v>0</v>
      </c>
      <c r="L12" s="1">
        <f t="shared" si="4"/>
        <v>111671.175</v>
      </c>
      <c r="M12" s="1">
        <f t="shared" si="5"/>
        <v>343.60361538461541</v>
      </c>
      <c r="N12" s="12">
        <f t="shared" si="6"/>
        <v>343.60361538461541</v>
      </c>
      <c r="O12" s="69"/>
      <c r="P12" s="3">
        <f t="shared" si="7"/>
        <v>0</v>
      </c>
      <c r="Q12" s="1">
        <f t="shared" si="8"/>
        <v>117254.73375000001</v>
      </c>
      <c r="R12" s="1">
        <f t="shared" si="9"/>
        <v>360.7837961538462</v>
      </c>
      <c r="S12" s="12">
        <f t="shared" si="10"/>
        <v>360.7837961538462</v>
      </c>
      <c r="T12" s="8"/>
      <c r="U12" s="3">
        <f t="shared" si="11"/>
        <v>0</v>
      </c>
      <c r="V12" s="1">
        <f t="shared" si="12"/>
        <v>123117.47043750001</v>
      </c>
      <c r="W12" s="1">
        <f t="shared" si="13"/>
        <v>378.82298596153851</v>
      </c>
      <c r="X12" s="12">
        <f t="shared" si="14"/>
        <v>378.82298596153851</v>
      </c>
      <c r="Y12" s="69"/>
      <c r="Z12" s="3">
        <f t="shared" si="15"/>
        <v>0</v>
      </c>
      <c r="AA12" s="1">
        <f t="shared" si="16"/>
        <v>129273.34395937502</v>
      </c>
      <c r="AB12" s="1">
        <f t="shared" si="17"/>
        <v>397.76413525961544</v>
      </c>
      <c r="AC12" s="12">
        <f t="shared" si="18"/>
        <v>397.76413525961544</v>
      </c>
    </row>
    <row r="13" spans="1:29" x14ac:dyDescent="0.2">
      <c r="A13" s="66"/>
      <c r="B13" s="66"/>
      <c r="C13" s="70"/>
      <c r="D13" s="22"/>
      <c r="E13" s="69"/>
      <c r="F13" s="3"/>
      <c r="G13" s="8"/>
      <c r="H13" s="8"/>
      <c r="I13" s="7"/>
      <c r="J13" s="69"/>
      <c r="K13" s="3"/>
      <c r="L13" s="8"/>
      <c r="M13" s="8"/>
      <c r="N13" s="26"/>
      <c r="O13" s="69"/>
      <c r="P13" s="3"/>
      <c r="Q13" s="8"/>
      <c r="R13" s="8"/>
      <c r="S13" s="26"/>
      <c r="T13" s="8"/>
      <c r="U13" s="3"/>
      <c r="V13" s="8"/>
      <c r="W13" s="8"/>
      <c r="X13" s="26"/>
      <c r="Y13" s="69"/>
      <c r="Z13" s="3"/>
      <c r="AA13" s="8"/>
      <c r="AB13" s="8"/>
      <c r="AC13" s="26"/>
    </row>
    <row r="14" spans="1:29" x14ac:dyDescent="0.2">
      <c r="A14" s="66"/>
      <c r="B14" s="66"/>
      <c r="C14" s="74" t="s">
        <v>51</v>
      </c>
      <c r="D14" s="22" t="s">
        <v>46</v>
      </c>
      <c r="E14" s="69">
        <f>SUM(E6:E12)</f>
        <v>69.5</v>
      </c>
      <c r="F14" s="3">
        <f>E14/260</f>
        <v>0.2673076923076923</v>
      </c>
      <c r="G14" s="27">
        <f>AVERAGE(G5:G12)</f>
        <v>83430.907000000007</v>
      </c>
      <c r="H14" s="1">
        <f>G14/260*0.8</f>
        <v>256.71048307692308</v>
      </c>
      <c r="I14" s="1">
        <f>PRODUCT(H14,E14)</f>
        <v>17841.378573846156</v>
      </c>
      <c r="J14" s="69">
        <f>SUM(J5:J11)</f>
        <v>31</v>
      </c>
      <c r="K14" s="3">
        <f>J14/130</f>
        <v>0.23846153846153847</v>
      </c>
      <c r="L14" s="27">
        <f>AVERAGE(L5:L12)</f>
        <v>87602.452350000007</v>
      </c>
      <c r="M14" s="1">
        <f>L14/260*0.8</f>
        <v>269.54600723076925</v>
      </c>
      <c r="N14" s="12">
        <f>PRODUCT(M14,J14)</f>
        <v>8355.9262241538472</v>
      </c>
      <c r="O14" s="69">
        <f>SUM(O5:O11)</f>
        <v>0</v>
      </c>
      <c r="P14" s="3">
        <f>O14/260</f>
        <v>0</v>
      </c>
      <c r="Q14" s="27">
        <f>AVERAGE(Q5:Q12)</f>
        <v>91982.574967500012</v>
      </c>
      <c r="R14" s="1">
        <f>Q14/260*0.8</f>
        <v>283.02330759230773</v>
      </c>
      <c r="S14" s="12">
        <f>PRODUCT(R14,O14)</f>
        <v>0</v>
      </c>
      <c r="T14" s="8">
        <f>SUM(T5:T11)</f>
        <v>0</v>
      </c>
      <c r="U14" s="3">
        <f>T14/260</f>
        <v>0</v>
      </c>
      <c r="V14" s="27">
        <f>AVERAGE(V5:V12)</f>
        <v>96581.703715875017</v>
      </c>
      <c r="W14" s="1">
        <f>V14/260*0.8</f>
        <v>297.17447297192314</v>
      </c>
      <c r="X14" s="12">
        <f>PRODUCT(W14,T14)</f>
        <v>0</v>
      </c>
      <c r="Y14" s="69">
        <f>SUM(Y5:Y11)</f>
        <v>0</v>
      </c>
      <c r="Z14" s="3">
        <f>Y14/260</f>
        <v>0</v>
      </c>
      <c r="AA14" s="27">
        <f>AVERAGE(AA5:AA12)</f>
        <v>101410.78890166878</v>
      </c>
      <c r="AB14" s="1">
        <f>AA14/260*0.8</f>
        <v>312.03319662051939</v>
      </c>
      <c r="AC14" s="12">
        <f>PRODUCT(AB14,Y14)</f>
        <v>0</v>
      </c>
    </row>
    <row r="15" spans="1:29" x14ac:dyDescent="0.2">
      <c r="A15" s="66"/>
      <c r="B15" s="66"/>
      <c r="C15" s="74"/>
      <c r="D15" s="22"/>
      <c r="E15" s="69"/>
      <c r="F15" s="3"/>
      <c r="G15" s="27"/>
      <c r="H15" s="1"/>
      <c r="I15" s="1"/>
      <c r="J15" s="69"/>
      <c r="K15" s="3"/>
      <c r="L15" s="27"/>
      <c r="M15" s="1"/>
      <c r="N15" s="12"/>
      <c r="O15" s="69"/>
      <c r="P15" s="3"/>
      <c r="Q15" s="27"/>
      <c r="R15" s="1"/>
      <c r="S15" s="12"/>
      <c r="T15" s="8"/>
      <c r="U15" s="3"/>
      <c r="V15" s="27"/>
      <c r="W15" s="1"/>
      <c r="X15" s="12"/>
      <c r="Y15" s="69"/>
      <c r="Z15" s="3"/>
      <c r="AA15" s="27"/>
      <c r="AB15" s="1"/>
      <c r="AC15" s="12"/>
    </row>
    <row r="16" spans="1:29" x14ac:dyDescent="0.2">
      <c r="A16" s="11" t="s">
        <v>52</v>
      </c>
      <c r="B16" s="75"/>
      <c r="C16" s="76"/>
      <c r="D16" s="28"/>
      <c r="E16" s="77"/>
      <c r="F16" s="78"/>
      <c r="G16" s="77"/>
      <c r="H16" s="77"/>
      <c r="I16" s="79"/>
      <c r="J16" s="29"/>
      <c r="K16" s="78"/>
      <c r="L16" s="77"/>
      <c r="M16" s="77"/>
      <c r="N16" s="30"/>
      <c r="O16" s="29"/>
      <c r="P16" s="78"/>
      <c r="Q16" s="77"/>
      <c r="R16" s="77"/>
      <c r="S16" s="30"/>
      <c r="T16" s="77"/>
      <c r="U16" s="78"/>
      <c r="V16" s="77"/>
      <c r="W16" s="77"/>
      <c r="X16" s="30"/>
      <c r="Y16" s="77"/>
      <c r="Z16" s="78"/>
      <c r="AA16" s="77"/>
      <c r="AB16" s="77"/>
      <c r="AC16" s="30"/>
    </row>
    <row r="17" spans="1:29" ht="15.75" x14ac:dyDescent="0.25">
      <c r="A17" s="2"/>
      <c r="B17" s="2"/>
      <c r="C17" s="13" t="s">
        <v>53</v>
      </c>
      <c r="D17" s="14"/>
      <c r="E17" s="6"/>
      <c r="F17" s="3"/>
      <c r="G17" s="6"/>
      <c r="H17" s="6"/>
      <c r="I17" s="3"/>
      <c r="J17" s="6"/>
      <c r="K17" s="3"/>
      <c r="L17" s="6"/>
      <c r="M17" s="6"/>
      <c r="N17" s="3"/>
      <c r="O17" s="6"/>
      <c r="P17" s="3"/>
      <c r="Q17" s="6"/>
      <c r="R17" s="6"/>
      <c r="S17" s="3"/>
      <c r="T17" s="6"/>
      <c r="U17" s="3"/>
      <c r="V17" s="6"/>
      <c r="W17" s="6"/>
      <c r="X17" s="3"/>
      <c r="Y17" s="6"/>
      <c r="Z17" s="3"/>
      <c r="AA17" s="6"/>
      <c r="AB17" s="6"/>
      <c r="AC17" s="3"/>
    </row>
    <row r="18" spans="1:29" x14ac:dyDescent="0.2">
      <c r="A18" s="2"/>
      <c r="B18" s="2"/>
      <c r="C18" s="80" t="s">
        <v>54</v>
      </c>
      <c r="D18" s="4" t="s">
        <v>55</v>
      </c>
      <c r="E18" s="6"/>
      <c r="F18" s="3"/>
      <c r="G18" s="6"/>
      <c r="H18" s="6"/>
      <c r="I18" s="3"/>
      <c r="J18" s="6"/>
      <c r="K18" s="3"/>
      <c r="L18" s="6"/>
      <c r="M18" s="6"/>
      <c r="N18" s="3"/>
      <c r="O18" s="6"/>
      <c r="P18" s="3"/>
      <c r="Q18" s="6"/>
      <c r="R18" s="6"/>
      <c r="S18" s="3"/>
      <c r="T18" s="6"/>
      <c r="U18" s="3"/>
      <c r="V18" s="6"/>
      <c r="W18" s="6"/>
      <c r="X18" s="3"/>
      <c r="Y18" s="6"/>
      <c r="Z18" s="3"/>
      <c r="AA18" s="6"/>
      <c r="AB18" s="6"/>
      <c r="AC18" s="3"/>
    </row>
    <row r="19" spans="1:29" x14ac:dyDescent="0.2">
      <c r="A19" s="2"/>
      <c r="B19" s="2"/>
      <c r="C19" s="81"/>
      <c r="D19" s="2"/>
      <c r="E19" s="6"/>
      <c r="F19" s="3"/>
      <c r="G19" s="6"/>
      <c r="H19" s="6"/>
      <c r="I19" s="3"/>
      <c r="J19" s="6"/>
      <c r="K19" s="3"/>
      <c r="L19" s="6"/>
      <c r="M19" s="6"/>
      <c r="N19" s="3"/>
      <c r="O19" s="6"/>
      <c r="P19" s="3"/>
      <c r="Q19" s="6"/>
      <c r="R19" s="6"/>
      <c r="S19" s="3"/>
      <c r="T19" s="6"/>
      <c r="U19" s="3"/>
      <c r="V19" s="6"/>
      <c r="W19" s="6"/>
      <c r="X19" s="3"/>
      <c r="Y19" s="6"/>
      <c r="Z19" s="3"/>
      <c r="AA19" s="6"/>
      <c r="AB19" s="6"/>
      <c r="AC19" s="3"/>
    </row>
    <row r="20" spans="1:29" x14ac:dyDescent="0.2">
      <c r="A20" s="2"/>
      <c r="B20" s="2"/>
      <c r="C20" s="80" t="s">
        <v>56</v>
      </c>
      <c r="D20" s="5" t="s">
        <v>57</v>
      </c>
      <c r="E20" s="4"/>
      <c r="F20" s="3"/>
      <c r="G20" s="6"/>
      <c r="H20" s="6"/>
      <c r="I20" s="3"/>
      <c r="J20" s="6"/>
      <c r="K20" s="3"/>
      <c r="L20" s="6"/>
      <c r="M20" s="6"/>
      <c r="N20" s="3"/>
      <c r="O20" s="6"/>
      <c r="P20" s="3"/>
      <c r="Q20" s="6"/>
      <c r="R20" s="6"/>
      <c r="S20" s="3"/>
      <c r="T20" s="6"/>
      <c r="U20" s="3"/>
      <c r="V20" s="6"/>
      <c r="W20" s="6"/>
      <c r="X20" s="3"/>
      <c r="Y20" s="6"/>
      <c r="Z20" s="3"/>
      <c r="AA20" s="6"/>
      <c r="AB20" s="6"/>
      <c r="AC20" s="3"/>
    </row>
    <row r="21" spans="1:29" ht="15.75" customHeight="1" x14ac:dyDescent="0.2">
      <c r="A21" s="2"/>
      <c r="B21" s="2"/>
      <c r="C21" s="80"/>
      <c r="D21" s="31" t="s">
        <v>58</v>
      </c>
      <c r="E21" s="2"/>
      <c r="F21" s="3"/>
      <c r="G21" s="6"/>
      <c r="H21" s="6"/>
      <c r="I21" s="3"/>
      <c r="J21" s="6"/>
      <c r="K21" s="3"/>
      <c r="L21" s="6"/>
      <c r="M21" s="6"/>
      <c r="N21" s="3"/>
      <c r="O21" s="6"/>
      <c r="P21" s="3"/>
      <c r="Q21" s="6"/>
      <c r="R21" s="6"/>
      <c r="S21" s="3"/>
      <c r="T21" s="6"/>
      <c r="U21" s="3"/>
      <c r="V21" s="6"/>
      <c r="W21" s="6"/>
      <c r="X21" s="3"/>
      <c r="Y21" s="6"/>
      <c r="Z21" s="3"/>
      <c r="AA21" s="6"/>
      <c r="AB21" s="6"/>
      <c r="AC21" s="3"/>
    </row>
    <row r="22" spans="1:29" ht="15.75" customHeight="1" x14ac:dyDescent="0.2">
      <c r="A22" s="2"/>
      <c r="B22" s="2"/>
      <c r="C22" s="80"/>
      <c r="D22" s="32" t="s">
        <v>59</v>
      </c>
      <c r="E22" s="4"/>
      <c r="F22" s="3"/>
      <c r="G22" s="6"/>
      <c r="H22" s="6"/>
      <c r="I22" s="3"/>
      <c r="J22" s="6"/>
      <c r="K22" s="3"/>
      <c r="L22" s="6"/>
      <c r="M22" s="6"/>
      <c r="N22" s="3"/>
      <c r="O22" s="6"/>
      <c r="P22" s="3"/>
      <c r="Q22" s="6"/>
      <c r="R22" s="6"/>
      <c r="S22" s="3"/>
      <c r="T22" s="6"/>
      <c r="U22" s="3"/>
      <c r="V22" s="6"/>
      <c r="W22" s="6"/>
      <c r="X22" s="3"/>
      <c r="Y22" s="6"/>
      <c r="Z22" s="3"/>
      <c r="AA22" s="6"/>
      <c r="AB22" s="6"/>
      <c r="AC22" s="3"/>
    </row>
    <row r="23" spans="1:29" ht="15.75" customHeight="1" x14ac:dyDescent="0.2">
      <c r="A23" s="2"/>
      <c r="B23" s="2"/>
      <c r="C23" s="80"/>
      <c r="D23" s="32" t="s">
        <v>60</v>
      </c>
      <c r="E23" s="2"/>
      <c r="F23" s="3"/>
      <c r="G23" s="6"/>
      <c r="H23" s="6"/>
      <c r="I23" s="3"/>
      <c r="J23" s="6"/>
      <c r="K23" s="3"/>
      <c r="L23" s="6"/>
      <c r="M23" s="6"/>
      <c r="N23" s="3"/>
      <c r="O23" s="6"/>
      <c r="P23" s="3"/>
      <c r="Q23" s="6"/>
      <c r="R23" s="6"/>
      <c r="S23" s="3"/>
      <c r="T23" s="6"/>
      <c r="U23" s="3"/>
      <c r="V23" s="6"/>
      <c r="W23" s="6"/>
      <c r="X23" s="3"/>
      <c r="Y23" s="6"/>
      <c r="Z23" s="3"/>
      <c r="AA23" s="6"/>
      <c r="AB23" s="6"/>
      <c r="AC23" s="3"/>
    </row>
    <row r="24" spans="1:29" ht="15.75" customHeight="1" x14ac:dyDescent="0.2">
      <c r="A24" s="2"/>
      <c r="B24" s="2"/>
      <c r="C24" s="80"/>
      <c r="D24" s="32" t="s">
        <v>61</v>
      </c>
      <c r="E24" s="4"/>
      <c r="F24" s="3"/>
      <c r="G24" s="6"/>
      <c r="H24" s="6"/>
      <c r="I24" s="3"/>
      <c r="J24" s="6"/>
      <c r="K24" s="3"/>
      <c r="L24" s="6"/>
      <c r="M24" s="6"/>
      <c r="N24" s="3"/>
      <c r="O24" s="6"/>
      <c r="P24" s="3"/>
      <c r="Q24" s="6"/>
      <c r="R24" s="6"/>
      <c r="S24" s="3"/>
      <c r="T24" s="6"/>
      <c r="U24" s="3"/>
      <c r="V24" s="6"/>
      <c r="W24" s="6"/>
      <c r="X24" s="3"/>
      <c r="Y24" s="6"/>
      <c r="Z24" s="3"/>
      <c r="AA24" s="6"/>
      <c r="AB24" s="6"/>
      <c r="AC24" s="3"/>
    </row>
    <row r="25" spans="1:29" ht="15.75" customHeight="1" x14ac:dyDescent="0.2">
      <c r="A25" s="2"/>
      <c r="B25" s="2"/>
      <c r="C25" s="80"/>
      <c r="D25" s="32"/>
      <c r="E25" s="4"/>
      <c r="F25" s="3"/>
      <c r="G25" s="6"/>
      <c r="H25" s="6"/>
      <c r="I25" s="3"/>
      <c r="J25" s="6"/>
      <c r="K25" s="3"/>
      <c r="L25" s="6"/>
      <c r="M25" s="6"/>
      <c r="N25" s="3"/>
      <c r="O25" s="6"/>
      <c r="P25" s="3"/>
      <c r="Q25" s="6"/>
      <c r="R25" s="6"/>
      <c r="S25" s="3"/>
      <c r="T25" s="6"/>
      <c r="U25" s="3"/>
      <c r="V25" s="6"/>
      <c r="W25" s="6"/>
      <c r="X25" s="3"/>
      <c r="Y25" s="6"/>
      <c r="Z25" s="3"/>
      <c r="AA25" s="6"/>
      <c r="AB25" s="6"/>
      <c r="AC25" s="3"/>
    </row>
    <row r="26" spans="1:29" ht="15.75" customHeight="1" x14ac:dyDescent="0.2">
      <c r="A26" s="2"/>
      <c r="B26" s="2"/>
      <c r="C26" s="80" t="s">
        <v>48</v>
      </c>
      <c r="D26" s="4" t="s">
        <v>62</v>
      </c>
      <c r="E26" s="4"/>
      <c r="F26" s="3"/>
      <c r="G26" s="6"/>
      <c r="H26" s="6"/>
      <c r="I26" s="3"/>
      <c r="J26" s="6"/>
      <c r="K26" s="3"/>
      <c r="L26" s="6"/>
      <c r="M26" s="6"/>
      <c r="N26" s="3"/>
      <c r="O26" s="6"/>
      <c r="P26" s="3"/>
      <c r="Q26" s="6"/>
      <c r="R26" s="6"/>
      <c r="S26" s="3"/>
      <c r="T26" s="6"/>
      <c r="U26" s="3"/>
      <c r="V26" s="6"/>
      <c r="W26" s="6"/>
      <c r="X26" s="3"/>
      <c r="Y26" s="6"/>
      <c r="Z26" s="3"/>
      <c r="AA26" s="6"/>
      <c r="AB26" s="6"/>
      <c r="AC26" s="3"/>
    </row>
    <row r="27" spans="1:29" ht="15.75" customHeight="1" x14ac:dyDescent="0.2">
      <c r="A27" s="2"/>
      <c r="B27" s="2"/>
      <c r="C27" s="80" t="s">
        <v>49</v>
      </c>
      <c r="D27" s="4" t="s">
        <v>63</v>
      </c>
      <c r="E27" s="6"/>
      <c r="F27" s="3"/>
      <c r="G27" s="6"/>
      <c r="H27" s="6"/>
      <c r="I27" s="3"/>
      <c r="J27" s="6"/>
      <c r="K27" s="3"/>
      <c r="L27" s="6"/>
      <c r="M27" s="6"/>
      <c r="N27" s="3"/>
      <c r="O27" s="6"/>
      <c r="P27" s="3"/>
      <c r="Q27" s="6"/>
      <c r="R27" s="6"/>
      <c r="S27" s="3"/>
      <c r="T27" s="6"/>
      <c r="U27" s="3"/>
      <c r="V27" s="6"/>
      <c r="W27" s="6"/>
      <c r="X27" s="3"/>
      <c r="Y27" s="6"/>
      <c r="Z27" s="3"/>
      <c r="AA27" s="6"/>
      <c r="AB27" s="6"/>
      <c r="AC27" s="3"/>
    </row>
    <row r="28" spans="1:29" ht="15.75" customHeight="1" x14ac:dyDescent="0.2">
      <c r="A28" s="2"/>
      <c r="B28" s="2"/>
      <c r="C28" s="80" t="s">
        <v>50</v>
      </c>
      <c r="D28" s="4" t="s">
        <v>64</v>
      </c>
      <c r="E28" s="4"/>
      <c r="F28" s="3"/>
      <c r="G28" s="6"/>
      <c r="H28" s="6"/>
      <c r="I28" s="3"/>
      <c r="J28" s="6"/>
      <c r="K28" s="3"/>
      <c r="L28" s="6"/>
      <c r="M28" s="6"/>
      <c r="N28" s="3"/>
      <c r="O28" s="6"/>
      <c r="P28" s="3"/>
      <c r="Q28" s="6"/>
      <c r="R28" s="6"/>
      <c r="S28" s="3"/>
      <c r="T28" s="6"/>
      <c r="U28" s="3"/>
      <c r="V28" s="6"/>
      <c r="W28" s="6"/>
      <c r="X28" s="3"/>
      <c r="Y28" s="6"/>
      <c r="Z28" s="3"/>
      <c r="AA28" s="6"/>
      <c r="AB28" s="6"/>
      <c r="AC28" s="3"/>
    </row>
    <row r="29" spans="1:29" ht="15.75" customHeight="1" x14ac:dyDescent="0.2">
      <c r="A29" s="2"/>
      <c r="B29" s="2"/>
      <c r="C29" s="2"/>
      <c r="D29" s="14"/>
      <c r="E29" s="4"/>
      <c r="F29" s="3"/>
      <c r="G29" s="6"/>
      <c r="H29" s="6"/>
      <c r="I29" s="3"/>
      <c r="J29" s="6"/>
      <c r="K29" s="3"/>
      <c r="L29" s="6"/>
      <c r="M29" s="6"/>
      <c r="N29" s="3"/>
      <c r="O29" s="6"/>
      <c r="P29" s="3"/>
      <c r="Q29" s="6"/>
      <c r="R29" s="6"/>
      <c r="S29" s="3"/>
      <c r="T29" s="6"/>
      <c r="U29" s="3"/>
      <c r="V29" s="6"/>
      <c r="W29" s="6"/>
      <c r="X29" s="3"/>
      <c r="Y29" s="6"/>
      <c r="Z29" s="3"/>
      <c r="AA29" s="6"/>
      <c r="AB29" s="6"/>
      <c r="AC29" s="3"/>
    </row>
    <row r="30" spans="1:29" ht="15.75" customHeight="1" x14ac:dyDescent="0.2">
      <c r="A30" s="2"/>
      <c r="B30" s="2"/>
      <c r="C30" s="2"/>
      <c r="D30" s="14"/>
      <c r="E30" s="2"/>
      <c r="F30" s="3"/>
      <c r="G30" s="6"/>
      <c r="H30" s="6"/>
      <c r="I30" s="3"/>
      <c r="J30" s="6"/>
      <c r="K30" s="3"/>
      <c r="L30" s="6"/>
      <c r="M30" s="6"/>
      <c r="N30" s="3"/>
      <c r="O30" s="6"/>
      <c r="P30" s="3"/>
      <c r="Q30" s="6"/>
      <c r="R30" s="6"/>
      <c r="S30" s="3"/>
      <c r="T30" s="6"/>
      <c r="U30" s="3"/>
      <c r="V30" s="6"/>
      <c r="W30" s="6"/>
      <c r="X30" s="3"/>
      <c r="Y30" s="6"/>
      <c r="Z30" s="3"/>
      <c r="AA30" s="6"/>
      <c r="AB30" s="6"/>
      <c r="AC30" s="3"/>
    </row>
    <row r="31" spans="1:29" ht="15.75" customHeight="1" x14ac:dyDescent="0.2">
      <c r="A31" s="2"/>
      <c r="B31" s="2"/>
      <c r="C31" s="2"/>
      <c r="D31" s="14"/>
      <c r="E31" s="4"/>
      <c r="F31" s="3"/>
      <c r="G31" s="6"/>
      <c r="H31" s="6"/>
      <c r="I31" s="3"/>
      <c r="J31" s="6"/>
      <c r="K31" s="3"/>
      <c r="L31" s="6"/>
      <c r="M31" s="6"/>
      <c r="N31" s="3"/>
      <c r="O31" s="6"/>
      <c r="P31" s="3"/>
      <c r="Q31" s="6"/>
      <c r="R31" s="6"/>
      <c r="S31" s="3"/>
      <c r="T31" s="6"/>
      <c r="U31" s="3"/>
      <c r="V31" s="6"/>
      <c r="W31" s="6"/>
      <c r="X31" s="3"/>
      <c r="Y31" s="6"/>
      <c r="Z31" s="3"/>
      <c r="AA31" s="6"/>
      <c r="AB31" s="6"/>
      <c r="AC31" s="3"/>
    </row>
    <row r="32" spans="1:29" ht="15.75" customHeight="1" x14ac:dyDescent="0.2">
      <c r="A32" s="2"/>
      <c r="B32" s="2"/>
      <c r="C32" s="2"/>
      <c r="D32" s="14"/>
      <c r="E32" s="2"/>
      <c r="F32" s="3"/>
      <c r="G32" s="6"/>
      <c r="H32" s="6"/>
      <c r="I32" s="3"/>
      <c r="J32" s="6"/>
      <c r="K32" s="3"/>
      <c r="L32" s="6"/>
      <c r="M32" s="6"/>
      <c r="N32" s="3"/>
      <c r="O32" s="6"/>
      <c r="P32" s="3"/>
      <c r="Q32" s="6"/>
      <c r="R32" s="6"/>
      <c r="S32" s="3"/>
      <c r="T32" s="6"/>
      <c r="U32" s="3"/>
      <c r="V32" s="6"/>
      <c r="W32" s="6"/>
      <c r="X32" s="3"/>
      <c r="Y32" s="6"/>
      <c r="Z32" s="3"/>
      <c r="AA32" s="6"/>
      <c r="AB32" s="6"/>
      <c r="AC32" s="3"/>
    </row>
    <row r="33" spans="1:29" ht="15.75" customHeight="1" x14ac:dyDescent="0.2">
      <c r="A33" s="2"/>
      <c r="B33" s="2"/>
      <c r="C33" s="2"/>
      <c r="D33" s="14"/>
      <c r="E33" s="4"/>
      <c r="F33" s="33"/>
      <c r="G33" s="6"/>
      <c r="H33" s="6"/>
      <c r="I33" s="3"/>
      <c r="J33" s="6"/>
      <c r="K33" s="3"/>
      <c r="L33" s="6"/>
      <c r="M33" s="6"/>
      <c r="N33" s="3"/>
      <c r="O33" s="6"/>
      <c r="P33" s="3"/>
      <c r="Q33" s="6"/>
      <c r="R33" s="6"/>
      <c r="S33" s="3"/>
      <c r="T33" s="6"/>
      <c r="U33" s="3"/>
      <c r="V33" s="6"/>
      <c r="W33" s="6"/>
      <c r="X33" s="3"/>
      <c r="Y33" s="6"/>
      <c r="Z33" s="3"/>
      <c r="AA33" s="6"/>
      <c r="AB33" s="6"/>
      <c r="AC33" s="3"/>
    </row>
    <row r="34" spans="1:29" ht="15.75" customHeight="1" x14ac:dyDescent="0.2">
      <c r="A34" s="2"/>
      <c r="B34" s="2"/>
      <c r="C34" s="2"/>
      <c r="D34" s="14"/>
      <c r="E34" s="4"/>
      <c r="F34" s="3"/>
      <c r="G34" s="6"/>
      <c r="H34" s="6"/>
      <c r="I34" s="3"/>
      <c r="J34" s="6"/>
      <c r="K34" s="3"/>
      <c r="L34" s="6"/>
      <c r="M34" s="6"/>
      <c r="N34" s="3"/>
      <c r="O34" s="6"/>
      <c r="P34" s="3"/>
      <c r="Q34" s="6"/>
      <c r="R34" s="6"/>
      <c r="S34" s="3"/>
      <c r="T34" s="6"/>
      <c r="U34" s="3"/>
      <c r="V34" s="6"/>
      <c r="W34" s="6"/>
      <c r="X34" s="3"/>
      <c r="Y34" s="6"/>
      <c r="Z34" s="3"/>
      <c r="AA34" s="6"/>
      <c r="AB34" s="6"/>
      <c r="AC34" s="3"/>
    </row>
    <row r="35" spans="1:29" ht="15.75" customHeight="1" x14ac:dyDescent="0.2">
      <c r="A35" s="2"/>
      <c r="B35" s="2"/>
      <c r="C35" s="2"/>
      <c r="D35" s="14"/>
      <c r="E35" s="4"/>
      <c r="F35" s="3"/>
      <c r="G35" s="6"/>
      <c r="H35" s="6"/>
      <c r="I35" s="3"/>
      <c r="J35" s="6"/>
      <c r="K35" s="3"/>
      <c r="L35" s="6"/>
      <c r="M35" s="6"/>
      <c r="N35" s="3"/>
      <c r="O35" s="6"/>
      <c r="P35" s="3"/>
      <c r="Q35" s="6"/>
      <c r="R35" s="6"/>
      <c r="S35" s="3"/>
      <c r="T35" s="6"/>
      <c r="U35" s="3"/>
      <c r="V35" s="6"/>
      <c r="W35" s="6"/>
      <c r="X35" s="3"/>
      <c r="Y35" s="6"/>
      <c r="Z35" s="3"/>
      <c r="AA35" s="6"/>
      <c r="AB35" s="6"/>
      <c r="AC35" s="3"/>
    </row>
    <row r="36" spans="1:29" ht="15.75" customHeight="1" x14ac:dyDescent="0.2">
      <c r="A36" s="2"/>
      <c r="B36" s="2"/>
      <c r="C36" s="2"/>
      <c r="D36" s="14"/>
      <c r="E36" s="6"/>
      <c r="F36" s="3"/>
      <c r="G36" s="6"/>
      <c r="H36" s="6"/>
      <c r="I36" s="3"/>
      <c r="J36" s="6"/>
      <c r="K36" s="3"/>
      <c r="L36" s="6"/>
      <c r="M36" s="6"/>
      <c r="N36" s="3"/>
      <c r="O36" s="6"/>
      <c r="P36" s="3"/>
      <c r="Q36" s="6"/>
      <c r="R36" s="6"/>
      <c r="S36" s="3"/>
      <c r="T36" s="6"/>
      <c r="U36" s="3"/>
      <c r="V36" s="6"/>
      <c r="W36" s="6"/>
      <c r="X36" s="3"/>
      <c r="Y36" s="6"/>
      <c r="Z36" s="3"/>
      <c r="AA36" s="6"/>
      <c r="AB36" s="6"/>
      <c r="AC36" s="3"/>
    </row>
    <row r="37" spans="1:29" ht="15.75" customHeight="1" x14ac:dyDescent="0.2">
      <c r="A37" s="2"/>
      <c r="B37" s="2"/>
      <c r="C37" s="2"/>
      <c r="D37" s="14"/>
      <c r="E37" s="6"/>
      <c r="F37" s="3"/>
      <c r="G37" s="6"/>
      <c r="H37" s="6"/>
      <c r="I37" s="3"/>
      <c r="J37" s="6"/>
      <c r="K37" s="3"/>
      <c r="L37" s="6"/>
      <c r="M37" s="6"/>
      <c r="N37" s="3"/>
      <c r="O37" s="6"/>
      <c r="P37" s="3"/>
      <c r="Q37" s="6"/>
      <c r="R37" s="6"/>
      <c r="S37" s="3"/>
      <c r="T37" s="6"/>
      <c r="U37" s="3"/>
      <c r="V37" s="6"/>
      <c r="W37" s="6"/>
      <c r="X37" s="3"/>
      <c r="Y37" s="6"/>
      <c r="Z37" s="3"/>
      <c r="AA37" s="6"/>
      <c r="AB37" s="6"/>
      <c r="AC37" s="3"/>
    </row>
    <row r="38" spans="1:29" ht="15.75" customHeight="1" x14ac:dyDescent="0.2">
      <c r="A38" s="2"/>
      <c r="B38" s="2"/>
      <c r="C38" s="2"/>
      <c r="D38" s="14"/>
      <c r="E38" s="6"/>
      <c r="F38" s="3"/>
      <c r="G38" s="6"/>
      <c r="H38" s="6"/>
      <c r="I38" s="3"/>
      <c r="J38" s="6"/>
      <c r="K38" s="3"/>
      <c r="L38" s="6"/>
      <c r="M38" s="6"/>
      <c r="N38" s="3"/>
      <c r="O38" s="6"/>
      <c r="P38" s="3"/>
      <c r="Q38" s="6"/>
      <c r="R38" s="6"/>
      <c r="S38" s="3"/>
      <c r="T38" s="6"/>
      <c r="U38" s="3"/>
      <c r="V38" s="6"/>
      <c r="W38" s="6"/>
      <c r="X38" s="3"/>
      <c r="Y38" s="6"/>
      <c r="Z38" s="3"/>
      <c r="AA38" s="6"/>
      <c r="AB38" s="6"/>
      <c r="AC38" s="3"/>
    </row>
    <row r="39" spans="1:29" ht="15.75" customHeight="1" x14ac:dyDescent="0.2">
      <c r="A39" s="2"/>
      <c r="B39" s="2"/>
      <c r="C39" s="2"/>
      <c r="D39" s="14"/>
      <c r="E39" s="6"/>
      <c r="F39" s="3"/>
      <c r="G39" s="6"/>
      <c r="H39" s="6"/>
      <c r="I39" s="3"/>
      <c r="J39" s="6"/>
      <c r="K39" s="3"/>
      <c r="L39" s="6"/>
      <c r="M39" s="6"/>
      <c r="N39" s="3"/>
      <c r="O39" s="6"/>
      <c r="P39" s="3"/>
      <c r="Q39" s="6"/>
      <c r="R39" s="6"/>
      <c r="S39" s="3"/>
      <c r="T39" s="6"/>
      <c r="U39" s="3"/>
      <c r="V39" s="6"/>
      <c r="W39" s="6"/>
      <c r="X39" s="3"/>
      <c r="Y39" s="6"/>
      <c r="Z39" s="3"/>
      <c r="AA39" s="6"/>
      <c r="AB39" s="6"/>
      <c r="AC39" s="3"/>
    </row>
    <row r="40" spans="1:29" ht="15.75" customHeight="1" x14ac:dyDescent="0.2">
      <c r="A40" s="2"/>
      <c r="B40" s="2"/>
      <c r="C40" s="2"/>
      <c r="D40" s="14"/>
      <c r="E40" s="6"/>
      <c r="F40" s="3"/>
      <c r="G40" s="6"/>
      <c r="H40" s="6"/>
      <c r="I40" s="3"/>
      <c r="J40" s="6"/>
      <c r="K40" s="3"/>
      <c r="L40" s="6"/>
      <c r="M40" s="6"/>
      <c r="N40" s="3"/>
      <c r="O40" s="6"/>
      <c r="P40" s="3"/>
      <c r="Q40" s="6"/>
      <c r="R40" s="6"/>
      <c r="S40" s="3"/>
      <c r="T40" s="6"/>
      <c r="U40" s="3"/>
      <c r="V40" s="6"/>
      <c r="W40" s="6"/>
      <c r="X40" s="3"/>
      <c r="Y40" s="6"/>
      <c r="Z40" s="3"/>
      <c r="AA40" s="6"/>
      <c r="AB40" s="6"/>
      <c r="AC40" s="3"/>
    </row>
    <row r="41" spans="1:29" ht="15.75" customHeight="1" x14ac:dyDescent="0.2">
      <c r="A41" s="2"/>
      <c r="B41" s="2"/>
      <c r="C41" s="2"/>
      <c r="D41" s="14"/>
      <c r="E41" s="6"/>
      <c r="F41" s="3"/>
      <c r="G41" s="6"/>
      <c r="H41" s="6"/>
      <c r="I41" s="3"/>
      <c r="J41" s="6"/>
      <c r="K41" s="3"/>
      <c r="L41" s="6"/>
      <c r="M41" s="6"/>
      <c r="N41" s="3"/>
      <c r="O41" s="6"/>
      <c r="P41" s="3"/>
      <c r="Q41" s="6"/>
      <c r="R41" s="6"/>
      <c r="S41" s="3"/>
      <c r="T41" s="6"/>
      <c r="U41" s="3"/>
      <c r="V41" s="6"/>
      <c r="W41" s="6"/>
      <c r="X41" s="3"/>
      <c r="Y41" s="6"/>
      <c r="Z41" s="3"/>
      <c r="AA41" s="6"/>
      <c r="AB41" s="6"/>
      <c r="AC41" s="3"/>
    </row>
    <row r="42" spans="1:29" ht="15.75" customHeight="1" x14ac:dyDescent="0.2">
      <c r="A42" s="2"/>
      <c r="B42" s="2"/>
      <c r="C42" s="2"/>
      <c r="D42" s="14"/>
      <c r="E42" s="6"/>
      <c r="F42" s="3"/>
      <c r="G42" s="6"/>
      <c r="H42" s="6"/>
      <c r="I42" s="3"/>
      <c r="J42" s="6"/>
      <c r="K42" s="3"/>
      <c r="L42" s="6"/>
      <c r="M42" s="6"/>
      <c r="N42" s="3"/>
      <c r="O42" s="6"/>
      <c r="P42" s="3"/>
      <c r="Q42" s="6"/>
      <c r="R42" s="6"/>
      <c r="S42" s="3"/>
      <c r="T42" s="6"/>
      <c r="U42" s="3"/>
      <c r="V42" s="6"/>
      <c r="W42" s="6"/>
      <c r="X42" s="3"/>
      <c r="Y42" s="6"/>
      <c r="Z42" s="3"/>
      <c r="AA42" s="6"/>
      <c r="AB42" s="6"/>
      <c r="AC42" s="3"/>
    </row>
    <row r="43" spans="1:29" ht="15.75" customHeight="1" x14ac:dyDescent="0.2">
      <c r="A43" s="2"/>
      <c r="B43" s="2"/>
      <c r="C43" s="2"/>
      <c r="D43" s="14"/>
      <c r="E43" s="6"/>
      <c r="F43" s="3"/>
      <c r="G43" s="6"/>
      <c r="H43" s="6"/>
      <c r="I43" s="3"/>
      <c r="J43" s="6"/>
      <c r="K43" s="3"/>
      <c r="L43" s="6"/>
      <c r="M43" s="6"/>
      <c r="N43" s="3"/>
      <c r="O43" s="6"/>
      <c r="P43" s="3"/>
      <c r="Q43" s="6"/>
      <c r="R43" s="6"/>
      <c r="S43" s="3"/>
      <c r="T43" s="6"/>
      <c r="U43" s="3"/>
      <c r="V43" s="6"/>
      <c r="W43" s="6"/>
      <c r="X43" s="3"/>
      <c r="Y43" s="6"/>
      <c r="Z43" s="3"/>
      <c r="AA43" s="6"/>
      <c r="AB43" s="6"/>
      <c r="AC43" s="3"/>
    </row>
    <row r="44" spans="1:29" ht="15.75" customHeight="1" x14ac:dyDescent="0.2">
      <c r="A44" s="2"/>
      <c r="B44" s="2"/>
      <c r="C44" s="2"/>
      <c r="D44" s="14"/>
      <c r="E44" s="6"/>
      <c r="F44" s="3"/>
      <c r="G44" s="6"/>
      <c r="H44" s="6"/>
      <c r="I44" s="3"/>
      <c r="J44" s="6"/>
      <c r="K44" s="3"/>
      <c r="L44" s="6"/>
      <c r="M44" s="6"/>
      <c r="N44" s="3"/>
      <c r="O44" s="6"/>
      <c r="P44" s="3"/>
      <c r="Q44" s="6"/>
      <c r="R44" s="6"/>
      <c r="S44" s="3"/>
      <c r="T44" s="6"/>
      <c r="U44" s="3"/>
      <c r="V44" s="6"/>
      <c r="W44" s="6"/>
      <c r="X44" s="3"/>
      <c r="Y44" s="6"/>
      <c r="Z44" s="3"/>
      <c r="AA44" s="6"/>
      <c r="AB44" s="6"/>
      <c r="AC44" s="3"/>
    </row>
    <row r="45" spans="1:29" ht="15.75" customHeight="1" x14ac:dyDescent="0.2">
      <c r="A45" s="2"/>
      <c r="B45" s="2"/>
      <c r="C45" s="2"/>
      <c r="D45" s="14"/>
      <c r="E45" s="6"/>
      <c r="F45" s="3"/>
      <c r="G45" s="6"/>
      <c r="H45" s="6"/>
      <c r="I45" s="3"/>
      <c r="J45" s="6"/>
      <c r="K45" s="3"/>
      <c r="L45" s="6"/>
      <c r="M45" s="6"/>
      <c r="N45" s="3"/>
      <c r="O45" s="6"/>
      <c r="P45" s="3"/>
      <c r="Q45" s="6"/>
      <c r="R45" s="6"/>
      <c r="S45" s="3"/>
      <c r="T45" s="6"/>
      <c r="U45" s="3"/>
      <c r="V45" s="6"/>
      <c r="W45" s="6"/>
      <c r="X45" s="3"/>
      <c r="Y45" s="6"/>
      <c r="Z45" s="3"/>
      <c r="AA45" s="6"/>
      <c r="AB45" s="6"/>
      <c r="AC45" s="3"/>
    </row>
    <row r="46" spans="1:29" ht="15.75" customHeight="1" x14ac:dyDescent="0.2">
      <c r="A46" s="2"/>
      <c r="B46" s="2"/>
      <c r="C46" s="2"/>
      <c r="D46" s="14"/>
      <c r="E46" s="6"/>
      <c r="F46" s="3"/>
      <c r="G46" s="6"/>
      <c r="H46" s="6"/>
      <c r="I46" s="3"/>
      <c r="J46" s="6"/>
      <c r="K46" s="3"/>
      <c r="L46" s="6"/>
      <c r="M46" s="6"/>
      <c r="N46" s="3"/>
      <c r="O46" s="6"/>
      <c r="P46" s="3"/>
      <c r="Q46" s="6"/>
      <c r="R46" s="6"/>
      <c r="S46" s="3"/>
      <c r="T46" s="6"/>
      <c r="U46" s="3"/>
      <c r="V46" s="6"/>
      <c r="W46" s="6"/>
      <c r="X46" s="3"/>
      <c r="Y46" s="6"/>
      <c r="Z46" s="3"/>
      <c r="AA46" s="6"/>
      <c r="AB46" s="6"/>
      <c r="AC46" s="3"/>
    </row>
    <row r="47" spans="1:29" ht="15.75" customHeight="1" x14ac:dyDescent="0.2">
      <c r="A47" s="2"/>
      <c r="B47" s="2"/>
      <c r="C47" s="2"/>
      <c r="D47" s="14"/>
      <c r="E47" s="6"/>
      <c r="F47" s="3"/>
      <c r="G47" s="6"/>
      <c r="H47" s="6"/>
      <c r="I47" s="3"/>
      <c r="J47" s="6"/>
      <c r="K47" s="3"/>
      <c r="L47" s="6"/>
      <c r="M47" s="6"/>
      <c r="N47" s="3"/>
      <c r="O47" s="6"/>
      <c r="P47" s="3"/>
      <c r="Q47" s="6"/>
      <c r="R47" s="6"/>
      <c r="S47" s="3"/>
      <c r="T47" s="6"/>
      <c r="U47" s="3"/>
      <c r="V47" s="6"/>
      <c r="W47" s="6"/>
      <c r="X47" s="3"/>
      <c r="Y47" s="6"/>
      <c r="Z47" s="3"/>
      <c r="AA47" s="6"/>
      <c r="AB47" s="6"/>
      <c r="AC47" s="3"/>
    </row>
    <row r="48" spans="1:29" ht="15.75" customHeight="1" x14ac:dyDescent="0.2">
      <c r="A48" s="2"/>
      <c r="B48" s="2"/>
      <c r="C48" s="2"/>
      <c r="D48" s="14"/>
      <c r="E48" s="6"/>
      <c r="F48" s="3"/>
      <c r="G48" s="6"/>
      <c r="H48" s="6"/>
      <c r="I48" s="3"/>
      <c r="J48" s="6"/>
      <c r="K48" s="3"/>
      <c r="L48" s="6"/>
      <c r="M48" s="6"/>
      <c r="N48" s="3"/>
      <c r="O48" s="6"/>
      <c r="P48" s="3"/>
      <c r="Q48" s="6"/>
      <c r="R48" s="6"/>
      <c r="S48" s="3"/>
      <c r="T48" s="6"/>
      <c r="U48" s="3"/>
      <c r="V48" s="6"/>
      <c r="W48" s="6"/>
      <c r="X48" s="3"/>
      <c r="Y48" s="6"/>
      <c r="Z48" s="3"/>
      <c r="AA48" s="6"/>
      <c r="AB48" s="6"/>
      <c r="AC48" s="3"/>
    </row>
    <row r="49" spans="1:29" ht="15.75" customHeight="1" x14ac:dyDescent="0.2">
      <c r="A49" s="2"/>
      <c r="B49" s="2"/>
      <c r="C49" s="2"/>
      <c r="D49" s="14"/>
      <c r="E49" s="6"/>
      <c r="F49" s="3"/>
      <c r="G49" s="6"/>
      <c r="H49" s="6"/>
      <c r="I49" s="3"/>
      <c r="J49" s="6"/>
      <c r="K49" s="3"/>
      <c r="L49" s="6"/>
      <c r="M49" s="6"/>
      <c r="N49" s="3"/>
      <c r="O49" s="6"/>
      <c r="P49" s="3"/>
      <c r="Q49" s="6"/>
      <c r="R49" s="6"/>
      <c r="S49" s="3"/>
      <c r="T49" s="6"/>
      <c r="U49" s="3"/>
      <c r="V49" s="6"/>
      <c r="W49" s="6"/>
      <c r="X49" s="3"/>
      <c r="Y49" s="6"/>
      <c r="Z49" s="3"/>
      <c r="AA49" s="6"/>
      <c r="AB49" s="6"/>
      <c r="AC49" s="3"/>
    </row>
    <row r="50" spans="1:29" ht="15.75" customHeight="1" x14ac:dyDescent="0.2">
      <c r="A50" s="2"/>
      <c r="B50" s="2"/>
      <c r="C50" s="2"/>
      <c r="D50" s="14"/>
      <c r="E50" s="6"/>
      <c r="F50" s="3"/>
      <c r="G50" s="6"/>
      <c r="H50" s="6"/>
      <c r="I50" s="3"/>
      <c r="J50" s="6"/>
      <c r="K50" s="3"/>
      <c r="L50" s="6"/>
      <c r="M50" s="6"/>
      <c r="N50" s="3"/>
      <c r="O50" s="6"/>
      <c r="P50" s="3"/>
      <c r="Q50" s="6"/>
      <c r="R50" s="6"/>
      <c r="S50" s="3"/>
      <c r="T50" s="6"/>
      <c r="U50" s="3"/>
      <c r="V50" s="6"/>
      <c r="W50" s="6"/>
      <c r="X50" s="3"/>
      <c r="Y50" s="6"/>
      <c r="Z50" s="3"/>
      <c r="AA50" s="6"/>
      <c r="AB50" s="6"/>
      <c r="AC50" s="3"/>
    </row>
    <row r="51" spans="1:29" ht="15.75" customHeight="1" x14ac:dyDescent="0.2">
      <c r="A51" s="2"/>
      <c r="B51" s="2"/>
      <c r="C51" s="2"/>
      <c r="D51" s="14"/>
      <c r="E51" s="6"/>
      <c r="F51" s="3"/>
      <c r="G51" s="6"/>
      <c r="H51" s="6"/>
      <c r="I51" s="3"/>
      <c r="J51" s="6"/>
      <c r="K51" s="3"/>
      <c r="L51" s="6"/>
      <c r="M51" s="6"/>
      <c r="N51" s="3"/>
      <c r="O51" s="6"/>
      <c r="P51" s="3"/>
      <c r="Q51" s="6"/>
      <c r="R51" s="6"/>
      <c r="S51" s="3"/>
      <c r="T51" s="6"/>
      <c r="U51" s="3"/>
      <c r="V51" s="6"/>
      <c r="W51" s="6"/>
      <c r="X51" s="3"/>
      <c r="Y51" s="6"/>
      <c r="Z51" s="3"/>
      <c r="AA51" s="6"/>
      <c r="AB51" s="6"/>
      <c r="AC51" s="3"/>
    </row>
    <row r="52" spans="1:29" ht="15.75" customHeight="1" x14ac:dyDescent="0.2">
      <c r="A52" s="2"/>
      <c r="B52" s="2"/>
      <c r="C52" s="2"/>
      <c r="D52" s="14"/>
      <c r="E52" s="6"/>
      <c r="F52" s="3"/>
      <c r="G52" s="6"/>
      <c r="H52" s="6"/>
      <c r="I52" s="3"/>
      <c r="J52" s="6"/>
      <c r="K52" s="3"/>
      <c r="L52" s="6"/>
      <c r="M52" s="6"/>
      <c r="N52" s="3"/>
      <c r="O52" s="6"/>
      <c r="P52" s="3"/>
      <c r="Q52" s="6"/>
      <c r="R52" s="6"/>
      <c r="S52" s="3"/>
      <c r="T52" s="6"/>
      <c r="U52" s="3"/>
      <c r="V52" s="6"/>
      <c r="W52" s="6"/>
      <c r="X52" s="3"/>
      <c r="Y52" s="6"/>
      <c r="Z52" s="3"/>
      <c r="AA52" s="6"/>
      <c r="AB52" s="6"/>
      <c r="AC52" s="3"/>
    </row>
    <row r="53" spans="1:29" ht="15.75" customHeight="1" x14ac:dyDescent="0.2">
      <c r="A53" s="2"/>
      <c r="B53" s="2"/>
      <c r="C53" s="2"/>
      <c r="D53" s="14"/>
      <c r="E53" s="6"/>
      <c r="F53" s="3"/>
      <c r="G53" s="6"/>
      <c r="H53" s="6"/>
      <c r="I53" s="3"/>
      <c r="J53" s="6"/>
      <c r="K53" s="3"/>
      <c r="L53" s="6"/>
      <c r="M53" s="6"/>
      <c r="N53" s="3"/>
      <c r="O53" s="6"/>
      <c r="P53" s="3"/>
      <c r="Q53" s="6"/>
      <c r="R53" s="6"/>
      <c r="S53" s="3"/>
      <c r="T53" s="6"/>
      <c r="U53" s="3"/>
      <c r="V53" s="6"/>
      <c r="W53" s="6"/>
      <c r="X53" s="3"/>
      <c r="Y53" s="6"/>
      <c r="Z53" s="3"/>
      <c r="AA53" s="6"/>
      <c r="AB53" s="6"/>
      <c r="AC53" s="3"/>
    </row>
    <row r="54" spans="1:29" ht="15.75" customHeight="1" x14ac:dyDescent="0.2">
      <c r="A54" s="2"/>
      <c r="B54" s="2"/>
      <c r="C54" s="2"/>
      <c r="D54" s="14"/>
      <c r="E54" s="6"/>
      <c r="F54" s="3"/>
      <c r="G54" s="6"/>
      <c r="H54" s="6"/>
      <c r="I54" s="3"/>
      <c r="J54" s="6"/>
      <c r="K54" s="3"/>
      <c r="L54" s="6"/>
      <c r="M54" s="6"/>
      <c r="N54" s="3"/>
      <c r="O54" s="6"/>
      <c r="P54" s="3"/>
      <c r="Q54" s="6"/>
      <c r="R54" s="6"/>
      <c r="S54" s="3"/>
      <c r="T54" s="6"/>
      <c r="U54" s="3"/>
      <c r="V54" s="6"/>
      <c r="W54" s="6"/>
      <c r="X54" s="3"/>
      <c r="Y54" s="6"/>
      <c r="Z54" s="3"/>
      <c r="AA54" s="6"/>
      <c r="AB54" s="6"/>
      <c r="AC54" s="3"/>
    </row>
    <row r="55" spans="1:29" ht="15.75" customHeight="1" x14ac:dyDescent="0.2">
      <c r="A55" s="2"/>
      <c r="B55" s="2"/>
      <c r="C55" s="2"/>
      <c r="D55" s="14"/>
      <c r="E55" s="6"/>
      <c r="F55" s="3"/>
      <c r="G55" s="6"/>
      <c r="H55" s="6"/>
      <c r="I55" s="3"/>
      <c r="J55" s="6"/>
      <c r="K55" s="3"/>
      <c r="L55" s="6"/>
      <c r="M55" s="6"/>
      <c r="N55" s="3"/>
      <c r="O55" s="6"/>
      <c r="P55" s="3"/>
      <c r="Q55" s="6"/>
      <c r="R55" s="6"/>
      <c r="S55" s="3"/>
      <c r="T55" s="6"/>
      <c r="U55" s="3"/>
      <c r="V55" s="6"/>
      <c r="W55" s="6"/>
      <c r="X55" s="3"/>
      <c r="Y55" s="6"/>
      <c r="Z55" s="3"/>
      <c r="AA55" s="6"/>
      <c r="AB55" s="6"/>
      <c r="AC55" s="3"/>
    </row>
    <row r="56" spans="1:29" ht="15.75" customHeight="1" x14ac:dyDescent="0.2">
      <c r="A56" s="2"/>
      <c r="B56" s="2"/>
      <c r="C56" s="2"/>
      <c r="D56" s="14"/>
      <c r="E56" s="6"/>
      <c r="F56" s="3"/>
      <c r="G56" s="6"/>
      <c r="H56" s="6"/>
      <c r="I56" s="3"/>
      <c r="J56" s="6"/>
      <c r="K56" s="3"/>
      <c r="L56" s="6"/>
      <c r="M56" s="6"/>
      <c r="N56" s="3"/>
      <c r="O56" s="6"/>
      <c r="P56" s="3"/>
      <c r="Q56" s="6"/>
      <c r="R56" s="6"/>
      <c r="S56" s="3"/>
      <c r="T56" s="6"/>
      <c r="U56" s="3"/>
      <c r="V56" s="6"/>
      <c r="W56" s="6"/>
      <c r="X56" s="3"/>
      <c r="Y56" s="6"/>
      <c r="Z56" s="3"/>
      <c r="AA56" s="6"/>
      <c r="AB56" s="6"/>
      <c r="AC56" s="3"/>
    </row>
    <row r="57" spans="1:29" ht="15.75" customHeight="1" x14ac:dyDescent="0.2">
      <c r="A57" s="2"/>
      <c r="B57" s="2"/>
      <c r="C57" s="2"/>
      <c r="D57" s="14"/>
      <c r="E57" s="6"/>
      <c r="F57" s="3"/>
      <c r="G57" s="6"/>
      <c r="H57" s="6"/>
      <c r="I57" s="3"/>
      <c r="J57" s="6"/>
      <c r="K57" s="3"/>
      <c r="L57" s="6"/>
      <c r="M57" s="6"/>
      <c r="N57" s="3"/>
      <c r="O57" s="6"/>
      <c r="P57" s="3"/>
      <c r="Q57" s="6"/>
      <c r="R57" s="6"/>
      <c r="S57" s="3"/>
      <c r="T57" s="6"/>
      <c r="U57" s="3"/>
      <c r="V57" s="6"/>
      <c r="W57" s="6"/>
      <c r="X57" s="3"/>
      <c r="Y57" s="6"/>
      <c r="Z57" s="3"/>
      <c r="AA57" s="6"/>
      <c r="AB57" s="6"/>
      <c r="AC57" s="3"/>
    </row>
    <row r="58" spans="1:29" ht="15.75" customHeight="1" x14ac:dyDescent="0.2">
      <c r="A58" s="2"/>
      <c r="B58" s="2"/>
      <c r="C58" s="2"/>
      <c r="D58" s="14"/>
      <c r="E58" s="6"/>
      <c r="F58" s="3"/>
      <c r="G58" s="6"/>
      <c r="H58" s="6"/>
      <c r="I58" s="3"/>
      <c r="J58" s="6"/>
      <c r="K58" s="3"/>
      <c r="L58" s="6"/>
      <c r="M58" s="6"/>
      <c r="N58" s="3"/>
      <c r="O58" s="6"/>
      <c r="P58" s="3"/>
      <c r="Q58" s="6"/>
      <c r="R58" s="6"/>
      <c r="S58" s="3"/>
      <c r="T58" s="6"/>
      <c r="U58" s="3"/>
      <c r="V58" s="6"/>
      <c r="W58" s="6"/>
      <c r="X58" s="3"/>
      <c r="Y58" s="6"/>
      <c r="Z58" s="3"/>
      <c r="AA58" s="6"/>
      <c r="AB58" s="6"/>
      <c r="AC58" s="3"/>
    </row>
    <row r="59" spans="1:29" ht="15.75" customHeight="1" x14ac:dyDescent="0.2">
      <c r="A59" s="2"/>
      <c r="B59" s="2"/>
      <c r="C59" s="2"/>
      <c r="D59" s="14"/>
      <c r="E59" s="6"/>
      <c r="F59" s="3"/>
      <c r="G59" s="6"/>
      <c r="H59" s="6"/>
      <c r="I59" s="3"/>
      <c r="J59" s="6"/>
      <c r="K59" s="3"/>
      <c r="L59" s="6"/>
      <c r="M59" s="6"/>
      <c r="N59" s="3"/>
      <c r="O59" s="6"/>
      <c r="P59" s="3"/>
      <c r="Q59" s="6"/>
      <c r="R59" s="6"/>
      <c r="S59" s="3"/>
      <c r="T59" s="6"/>
      <c r="U59" s="3"/>
      <c r="V59" s="6"/>
      <c r="W59" s="6"/>
      <c r="X59" s="3"/>
      <c r="Y59" s="6"/>
      <c r="Z59" s="3"/>
      <c r="AA59" s="6"/>
      <c r="AB59" s="6"/>
      <c r="AC59" s="3"/>
    </row>
    <row r="60" spans="1:29" ht="15.75" customHeight="1" x14ac:dyDescent="0.2">
      <c r="A60" s="2"/>
      <c r="B60" s="2"/>
      <c r="C60" s="2"/>
      <c r="D60" s="14"/>
      <c r="E60" s="6"/>
      <c r="F60" s="3"/>
      <c r="G60" s="6"/>
      <c r="H60" s="6"/>
      <c r="I60" s="3"/>
      <c r="J60" s="6"/>
      <c r="K60" s="3"/>
      <c r="L60" s="6"/>
      <c r="M60" s="6"/>
      <c r="N60" s="3"/>
      <c r="O60" s="6"/>
      <c r="P60" s="3"/>
      <c r="Q60" s="6"/>
      <c r="R60" s="6"/>
      <c r="S60" s="3"/>
      <c r="T60" s="6"/>
      <c r="U60" s="3"/>
      <c r="V60" s="6"/>
      <c r="W60" s="6"/>
      <c r="X60" s="3"/>
      <c r="Y60" s="6"/>
      <c r="Z60" s="3"/>
      <c r="AA60" s="6"/>
      <c r="AB60" s="6"/>
      <c r="AC60" s="3"/>
    </row>
    <row r="61" spans="1:29" ht="15.75" customHeight="1" x14ac:dyDescent="0.2">
      <c r="A61" s="2"/>
      <c r="B61" s="2"/>
      <c r="C61" s="2"/>
      <c r="D61" s="14"/>
      <c r="E61" s="6"/>
      <c r="F61" s="3"/>
      <c r="G61" s="6"/>
      <c r="H61" s="6"/>
      <c r="I61" s="3"/>
      <c r="J61" s="6"/>
      <c r="K61" s="3"/>
      <c r="L61" s="6"/>
      <c r="M61" s="6"/>
      <c r="N61" s="3"/>
      <c r="O61" s="6"/>
      <c r="P61" s="3"/>
      <c r="Q61" s="6"/>
      <c r="R61" s="6"/>
      <c r="S61" s="3"/>
      <c r="T61" s="6"/>
      <c r="U61" s="3"/>
      <c r="V61" s="6"/>
      <c r="W61" s="6"/>
      <c r="X61" s="3"/>
      <c r="Y61" s="6"/>
      <c r="Z61" s="3"/>
      <c r="AA61" s="6"/>
      <c r="AB61" s="6"/>
      <c r="AC61" s="3"/>
    </row>
    <row r="62" spans="1:29" ht="15.75" customHeight="1" x14ac:dyDescent="0.2">
      <c r="A62" s="2"/>
      <c r="B62" s="2"/>
      <c r="C62" s="2"/>
      <c r="D62" s="14"/>
      <c r="E62" s="6"/>
      <c r="F62" s="3"/>
      <c r="G62" s="6"/>
      <c r="H62" s="6"/>
      <c r="I62" s="3"/>
      <c r="J62" s="6"/>
      <c r="K62" s="3"/>
      <c r="L62" s="6"/>
      <c r="M62" s="6"/>
      <c r="N62" s="3"/>
      <c r="O62" s="6"/>
      <c r="P62" s="3"/>
      <c r="Q62" s="6"/>
      <c r="R62" s="6"/>
      <c r="S62" s="3"/>
      <c r="T62" s="6"/>
      <c r="U62" s="3"/>
      <c r="V62" s="6"/>
      <c r="W62" s="6"/>
      <c r="X62" s="3"/>
      <c r="Y62" s="6"/>
      <c r="Z62" s="3"/>
      <c r="AA62" s="6"/>
      <c r="AB62" s="6"/>
      <c r="AC62" s="3"/>
    </row>
    <row r="63" spans="1:29" ht="15.75" customHeight="1" x14ac:dyDescent="0.2">
      <c r="A63" s="2"/>
      <c r="B63" s="2"/>
      <c r="C63" s="2"/>
      <c r="D63" s="14"/>
      <c r="E63" s="6"/>
      <c r="F63" s="3"/>
      <c r="G63" s="6"/>
      <c r="H63" s="6"/>
      <c r="I63" s="3"/>
      <c r="J63" s="6"/>
      <c r="K63" s="3"/>
      <c r="L63" s="6"/>
      <c r="M63" s="6"/>
      <c r="N63" s="3"/>
      <c r="O63" s="6"/>
      <c r="P63" s="3"/>
      <c r="Q63" s="6"/>
      <c r="R63" s="6"/>
      <c r="S63" s="3"/>
      <c r="T63" s="6"/>
      <c r="U63" s="3"/>
      <c r="V63" s="6"/>
      <c r="W63" s="6"/>
      <c r="X63" s="3"/>
      <c r="Y63" s="6"/>
      <c r="Z63" s="3"/>
      <c r="AA63" s="6"/>
      <c r="AB63" s="6"/>
      <c r="AC63" s="3"/>
    </row>
    <row r="64" spans="1:29" ht="15.75" customHeight="1" x14ac:dyDescent="0.2">
      <c r="A64" s="2"/>
      <c r="B64" s="2"/>
      <c r="C64" s="2"/>
      <c r="D64" s="14"/>
      <c r="E64" s="6"/>
      <c r="F64" s="3"/>
      <c r="G64" s="6"/>
      <c r="H64" s="6"/>
      <c r="I64" s="3"/>
      <c r="J64" s="6"/>
      <c r="K64" s="3"/>
      <c r="L64" s="6"/>
      <c r="M64" s="6"/>
      <c r="N64" s="3"/>
      <c r="O64" s="6"/>
      <c r="P64" s="3"/>
      <c r="Q64" s="6"/>
      <c r="R64" s="6"/>
      <c r="S64" s="3"/>
      <c r="T64" s="6"/>
      <c r="U64" s="3"/>
      <c r="V64" s="6"/>
      <c r="W64" s="6"/>
      <c r="X64" s="3"/>
      <c r="Y64" s="6"/>
      <c r="Z64" s="3"/>
      <c r="AA64" s="6"/>
      <c r="AB64" s="6"/>
      <c r="AC64" s="3"/>
    </row>
    <row r="65" spans="1:29" ht="15.75" customHeight="1" x14ac:dyDescent="0.2">
      <c r="A65" s="2"/>
      <c r="B65" s="2"/>
      <c r="C65" s="2"/>
      <c r="D65" s="14"/>
      <c r="E65" s="6"/>
      <c r="F65" s="3"/>
      <c r="G65" s="6"/>
      <c r="H65" s="6"/>
      <c r="I65" s="3"/>
      <c r="J65" s="6"/>
      <c r="K65" s="3"/>
      <c r="L65" s="6"/>
      <c r="M65" s="6"/>
      <c r="N65" s="3"/>
      <c r="O65" s="6"/>
      <c r="P65" s="3"/>
      <c r="Q65" s="6"/>
      <c r="R65" s="6"/>
      <c r="S65" s="3"/>
      <c r="T65" s="6"/>
      <c r="U65" s="3"/>
      <c r="V65" s="6"/>
      <c r="W65" s="6"/>
      <c r="X65" s="3"/>
      <c r="Y65" s="6"/>
      <c r="Z65" s="3"/>
      <c r="AA65" s="6"/>
      <c r="AB65" s="6"/>
      <c r="AC65" s="3"/>
    </row>
    <row r="66" spans="1:29" ht="15.75" customHeight="1" x14ac:dyDescent="0.2">
      <c r="A66" s="2"/>
      <c r="B66" s="2"/>
      <c r="C66" s="2"/>
      <c r="D66" s="14"/>
      <c r="E66" s="6"/>
      <c r="F66" s="3"/>
      <c r="G66" s="6"/>
      <c r="H66" s="6"/>
      <c r="I66" s="3"/>
      <c r="J66" s="6"/>
      <c r="K66" s="3"/>
      <c r="L66" s="6"/>
      <c r="M66" s="6"/>
      <c r="N66" s="3"/>
      <c r="O66" s="6"/>
      <c r="P66" s="3"/>
      <c r="Q66" s="6"/>
      <c r="R66" s="6"/>
      <c r="S66" s="3"/>
      <c r="T66" s="6"/>
      <c r="U66" s="3"/>
      <c r="V66" s="6"/>
      <c r="W66" s="6"/>
      <c r="X66" s="3"/>
      <c r="Y66" s="6"/>
      <c r="Z66" s="3"/>
      <c r="AA66" s="6"/>
      <c r="AB66" s="6"/>
      <c r="AC66" s="3"/>
    </row>
    <row r="67" spans="1:29" ht="15.75" customHeight="1" x14ac:dyDescent="0.2">
      <c r="A67" s="2"/>
      <c r="B67" s="2"/>
      <c r="C67" s="2"/>
      <c r="D67" s="14"/>
      <c r="E67" s="6"/>
      <c r="F67" s="3"/>
      <c r="G67" s="6"/>
      <c r="H67" s="6"/>
      <c r="I67" s="3"/>
      <c r="J67" s="6"/>
      <c r="K67" s="3"/>
      <c r="L67" s="6"/>
      <c r="M67" s="6"/>
      <c r="N67" s="3"/>
      <c r="O67" s="6"/>
      <c r="P67" s="3"/>
      <c r="Q67" s="6"/>
      <c r="R67" s="6"/>
      <c r="S67" s="3"/>
      <c r="T67" s="6"/>
      <c r="U67" s="3"/>
      <c r="V67" s="6"/>
      <c r="W67" s="6"/>
      <c r="X67" s="3"/>
      <c r="Y67" s="6"/>
      <c r="Z67" s="3"/>
      <c r="AA67" s="6"/>
      <c r="AB67" s="6"/>
      <c r="AC67" s="3"/>
    </row>
    <row r="68" spans="1:29" ht="15.75" customHeight="1" x14ac:dyDescent="0.2">
      <c r="A68" s="2"/>
      <c r="B68" s="2"/>
      <c r="C68" s="2"/>
      <c r="D68" s="14"/>
      <c r="E68" s="6"/>
      <c r="F68" s="3"/>
      <c r="G68" s="6"/>
      <c r="H68" s="6"/>
      <c r="I68" s="3"/>
      <c r="J68" s="6"/>
      <c r="K68" s="3"/>
      <c r="L68" s="6"/>
      <c r="M68" s="6"/>
      <c r="N68" s="3"/>
      <c r="O68" s="6"/>
      <c r="P68" s="3"/>
      <c r="Q68" s="6"/>
      <c r="R68" s="6"/>
      <c r="S68" s="3"/>
      <c r="T68" s="6"/>
      <c r="U68" s="3"/>
      <c r="V68" s="6"/>
      <c r="W68" s="6"/>
      <c r="X68" s="3"/>
      <c r="Y68" s="6"/>
      <c r="Z68" s="3"/>
      <c r="AA68" s="6"/>
      <c r="AB68" s="6"/>
      <c r="AC68" s="3"/>
    </row>
    <row r="69" spans="1:29" ht="15.75" customHeight="1" x14ac:dyDescent="0.2">
      <c r="A69" s="2"/>
      <c r="B69" s="2"/>
      <c r="C69" s="2"/>
      <c r="D69" s="14"/>
      <c r="E69" s="6"/>
      <c r="F69" s="3"/>
      <c r="G69" s="6"/>
      <c r="H69" s="6"/>
      <c r="I69" s="3"/>
      <c r="J69" s="6"/>
      <c r="K69" s="3"/>
      <c r="L69" s="6"/>
      <c r="M69" s="6"/>
      <c r="N69" s="3"/>
      <c r="O69" s="6"/>
      <c r="P69" s="3"/>
      <c r="Q69" s="6"/>
      <c r="R69" s="6"/>
      <c r="S69" s="3"/>
      <c r="T69" s="6"/>
      <c r="U69" s="3"/>
      <c r="V69" s="6"/>
      <c r="W69" s="6"/>
      <c r="X69" s="3"/>
      <c r="Y69" s="6"/>
      <c r="Z69" s="3"/>
      <c r="AA69" s="6"/>
      <c r="AB69" s="6"/>
      <c r="AC69" s="3"/>
    </row>
    <row r="70" spans="1:29" ht="15.75" customHeight="1" x14ac:dyDescent="0.2">
      <c r="A70" s="2"/>
      <c r="B70" s="2"/>
      <c r="C70" s="2"/>
      <c r="D70" s="14"/>
      <c r="E70" s="6"/>
      <c r="F70" s="3"/>
      <c r="G70" s="6"/>
      <c r="H70" s="6"/>
      <c r="I70" s="3"/>
      <c r="J70" s="6"/>
      <c r="K70" s="3"/>
      <c r="L70" s="6"/>
      <c r="M70" s="6"/>
      <c r="N70" s="3"/>
      <c r="O70" s="6"/>
      <c r="P70" s="3"/>
      <c r="Q70" s="6"/>
      <c r="R70" s="6"/>
      <c r="S70" s="3"/>
      <c r="T70" s="6"/>
      <c r="U70" s="3"/>
      <c r="V70" s="6"/>
      <c r="W70" s="6"/>
      <c r="X70" s="3"/>
      <c r="Y70" s="6"/>
      <c r="Z70" s="3"/>
      <c r="AA70" s="6"/>
      <c r="AB70" s="6"/>
      <c r="AC70" s="3"/>
    </row>
    <row r="71" spans="1:29" ht="15.75" customHeight="1" x14ac:dyDescent="0.2">
      <c r="A71" s="2"/>
      <c r="B71" s="2"/>
      <c r="C71" s="2"/>
      <c r="D71" s="14"/>
      <c r="E71" s="6"/>
      <c r="F71" s="3"/>
      <c r="G71" s="6"/>
      <c r="H71" s="6"/>
      <c r="I71" s="3"/>
      <c r="J71" s="6"/>
      <c r="K71" s="3"/>
      <c r="L71" s="6"/>
      <c r="M71" s="6"/>
      <c r="N71" s="3"/>
      <c r="O71" s="6"/>
      <c r="P71" s="3"/>
      <c r="Q71" s="6"/>
      <c r="R71" s="6"/>
      <c r="S71" s="3"/>
      <c r="T71" s="6"/>
      <c r="U71" s="3"/>
      <c r="V71" s="6"/>
      <c r="W71" s="6"/>
      <c r="X71" s="3"/>
      <c r="Y71" s="6"/>
      <c r="Z71" s="3"/>
      <c r="AA71" s="6"/>
      <c r="AB71" s="6"/>
      <c r="AC71" s="3"/>
    </row>
    <row r="72" spans="1:29" ht="15.75" customHeight="1" x14ac:dyDescent="0.2">
      <c r="A72" s="2"/>
      <c r="B72" s="2"/>
      <c r="C72" s="2"/>
      <c r="D72" s="14"/>
      <c r="E72" s="6"/>
      <c r="F72" s="3"/>
      <c r="G72" s="6"/>
      <c r="H72" s="6"/>
      <c r="I72" s="3"/>
      <c r="J72" s="6"/>
      <c r="K72" s="3"/>
      <c r="L72" s="6"/>
      <c r="M72" s="6"/>
      <c r="N72" s="3"/>
      <c r="O72" s="6"/>
      <c r="P72" s="3"/>
      <c r="Q72" s="6"/>
      <c r="R72" s="6"/>
      <c r="S72" s="3"/>
      <c r="T72" s="6"/>
      <c r="U72" s="3"/>
      <c r="V72" s="6"/>
      <c r="W72" s="6"/>
      <c r="X72" s="3"/>
      <c r="Y72" s="6"/>
      <c r="Z72" s="3"/>
      <c r="AA72" s="6"/>
      <c r="AB72" s="6"/>
      <c r="AC72" s="3"/>
    </row>
    <row r="73" spans="1:29" ht="15.75" customHeight="1" x14ac:dyDescent="0.2">
      <c r="A73" s="2"/>
      <c r="B73" s="2"/>
      <c r="C73" s="2"/>
      <c r="D73" s="14"/>
      <c r="E73" s="6"/>
      <c r="F73" s="3"/>
      <c r="G73" s="6"/>
      <c r="H73" s="6"/>
      <c r="I73" s="3"/>
      <c r="J73" s="6"/>
      <c r="K73" s="3"/>
      <c r="L73" s="6"/>
      <c r="M73" s="6"/>
      <c r="N73" s="3"/>
      <c r="O73" s="6"/>
      <c r="P73" s="3"/>
      <c r="Q73" s="6"/>
      <c r="R73" s="6"/>
      <c r="S73" s="3"/>
      <c r="T73" s="6"/>
      <c r="U73" s="3"/>
      <c r="V73" s="6"/>
      <c r="W73" s="6"/>
      <c r="X73" s="3"/>
      <c r="Y73" s="6"/>
      <c r="Z73" s="3"/>
      <c r="AA73" s="6"/>
      <c r="AB73" s="6"/>
      <c r="AC73" s="3"/>
    </row>
    <row r="74" spans="1:29" ht="15.75" customHeight="1" x14ac:dyDescent="0.2">
      <c r="A74" s="2"/>
      <c r="B74" s="2"/>
      <c r="C74" s="2"/>
      <c r="D74" s="14"/>
      <c r="E74" s="6"/>
      <c r="F74" s="3"/>
      <c r="G74" s="6"/>
      <c r="H74" s="6"/>
      <c r="I74" s="3"/>
      <c r="J74" s="6"/>
      <c r="K74" s="3"/>
      <c r="L74" s="6"/>
      <c r="M74" s="6"/>
      <c r="N74" s="3"/>
      <c r="O74" s="6"/>
      <c r="P74" s="3"/>
      <c r="Q74" s="6"/>
      <c r="R74" s="6"/>
      <c r="S74" s="3"/>
      <c r="T74" s="6"/>
      <c r="U74" s="3"/>
      <c r="V74" s="6"/>
      <c r="W74" s="6"/>
      <c r="X74" s="3"/>
      <c r="Y74" s="6"/>
      <c r="Z74" s="3"/>
      <c r="AA74" s="6"/>
      <c r="AB74" s="6"/>
      <c r="AC74" s="3"/>
    </row>
    <row r="75" spans="1:29" ht="15.75" customHeight="1" x14ac:dyDescent="0.2">
      <c r="A75" s="2"/>
      <c r="B75" s="2"/>
      <c r="C75" s="2"/>
      <c r="D75" s="14"/>
      <c r="E75" s="6"/>
      <c r="F75" s="3"/>
      <c r="G75" s="6"/>
      <c r="H75" s="6"/>
      <c r="I75" s="3"/>
      <c r="J75" s="6"/>
      <c r="K75" s="3"/>
      <c r="L75" s="6"/>
      <c r="M75" s="6"/>
      <c r="N75" s="3"/>
      <c r="O75" s="6"/>
      <c r="P75" s="3"/>
      <c r="Q75" s="6"/>
      <c r="R75" s="6"/>
      <c r="S75" s="3"/>
      <c r="T75" s="6"/>
      <c r="U75" s="3"/>
      <c r="V75" s="6"/>
      <c r="W75" s="6"/>
      <c r="X75" s="3"/>
      <c r="Y75" s="6"/>
      <c r="Z75" s="3"/>
      <c r="AA75" s="6"/>
      <c r="AB75" s="6"/>
      <c r="AC75" s="3"/>
    </row>
    <row r="76" spans="1:29" ht="15.75" customHeight="1" x14ac:dyDescent="0.2">
      <c r="A76" s="2"/>
      <c r="B76" s="2"/>
      <c r="C76" s="2"/>
      <c r="D76" s="14"/>
      <c r="E76" s="6"/>
      <c r="F76" s="3"/>
      <c r="G76" s="6"/>
      <c r="H76" s="6"/>
      <c r="I76" s="3"/>
      <c r="J76" s="6"/>
      <c r="K76" s="3"/>
      <c r="L76" s="6"/>
      <c r="M76" s="6"/>
      <c r="N76" s="3"/>
      <c r="O76" s="6"/>
      <c r="P76" s="3"/>
      <c r="Q76" s="6"/>
      <c r="R76" s="6"/>
      <c r="S76" s="3"/>
      <c r="T76" s="6"/>
      <c r="U76" s="3"/>
      <c r="V76" s="6"/>
      <c r="W76" s="6"/>
      <c r="X76" s="3"/>
      <c r="Y76" s="6"/>
      <c r="Z76" s="3"/>
      <c r="AA76" s="6"/>
      <c r="AB76" s="6"/>
      <c r="AC76" s="3"/>
    </row>
    <row r="77" spans="1:29" ht="15.75" customHeight="1" x14ac:dyDescent="0.2">
      <c r="A77" s="2"/>
      <c r="B77" s="2"/>
      <c r="C77" s="2"/>
      <c r="D77" s="14"/>
      <c r="E77" s="6"/>
      <c r="F77" s="3"/>
      <c r="G77" s="6"/>
      <c r="H77" s="6"/>
      <c r="I77" s="3"/>
      <c r="J77" s="6"/>
      <c r="K77" s="3"/>
      <c r="L77" s="6"/>
      <c r="M77" s="6"/>
      <c r="N77" s="3"/>
      <c r="O77" s="6"/>
      <c r="P77" s="3"/>
      <c r="Q77" s="6"/>
      <c r="R77" s="6"/>
      <c r="S77" s="3"/>
      <c r="T77" s="6"/>
      <c r="U77" s="3"/>
      <c r="V77" s="6"/>
      <c r="W77" s="6"/>
      <c r="X77" s="3"/>
      <c r="Y77" s="6"/>
      <c r="Z77" s="3"/>
      <c r="AA77" s="6"/>
      <c r="AB77" s="6"/>
      <c r="AC77" s="3"/>
    </row>
    <row r="78" spans="1:29" ht="15.75" customHeight="1" x14ac:dyDescent="0.2">
      <c r="A78" s="2"/>
      <c r="B78" s="2"/>
      <c r="C78" s="2"/>
      <c r="D78" s="14"/>
      <c r="E78" s="6"/>
      <c r="F78" s="3"/>
      <c r="G78" s="6"/>
      <c r="H78" s="6"/>
      <c r="I78" s="3"/>
      <c r="J78" s="6"/>
      <c r="K78" s="3"/>
      <c r="L78" s="6"/>
      <c r="M78" s="6"/>
      <c r="N78" s="3"/>
      <c r="O78" s="6"/>
      <c r="P78" s="3"/>
      <c r="Q78" s="6"/>
      <c r="R78" s="6"/>
      <c r="S78" s="3"/>
      <c r="T78" s="6"/>
      <c r="U78" s="3"/>
      <c r="V78" s="6"/>
      <c r="W78" s="6"/>
      <c r="X78" s="3"/>
      <c r="Y78" s="6"/>
      <c r="Z78" s="3"/>
      <c r="AA78" s="6"/>
      <c r="AB78" s="6"/>
      <c r="AC78" s="3"/>
    </row>
    <row r="79" spans="1:29" ht="15.75" customHeight="1" x14ac:dyDescent="0.2">
      <c r="A79" s="2"/>
      <c r="B79" s="2"/>
      <c r="C79" s="2"/>
      <c r="D79" s="14"/>
      <c r="E79" s="6"/>
      <c r="F79" s="3"/>
      <c r="G79" s="6"/>
      <c r="H79" s="6"/>
      <c r="I79" s="3"/>
      <c r="J79" s="6"/>
      <c r="K79" s="3"/>
      <c r="L79" s="6"/>
      <c r="M79" s="6"/>
      <c r="N79" s="3"/>
      <c r="O79" s="6"/>
      <c r="P79" s="3"/>
      <c r="Q79" s="6"/>
      <c r="R79" s="6"/>
      <c r="S79" s="3"/>
      <c r="T79" s="6"/>
      <c r="U79" s="3"/>
      <c r="V79" s="6"/>
      <c r="W79" s="6"/>
      <c r="X79" s="3"/>
      <c r="Y79" s="6"/>
      <c r="Z79" s="3"/>
      <c r="AA79" s="6"/>
      <c r="AB79" s="6"/>
      <c r="AC79" s="3"/>
    </row>
    <row r="80" spans="1:29" ht="15.75" customHeight="1" x14ac:dyDescent="0.2">
      <c r="A80" s="2"/>
      <c r="B80" s="2"/>
      <c r="C80" s="2"/>
      <c r="D80" s="14"/>
      <c r="E80" s="6"/>
      <c r="F80" s="3"/>
      <c r="G80" s="6"/>
      <c r="H80" s="6"/>
      <c r="I80" s="3"/>
      <c r="J80" s="6"/>
      <c r="K80" s="3"/>
      <c r="L80" s="6"/>
      <c r="M80" s="6"/>
      <c r="N80" s="3"/>
      <c r="O80" s="6"/>
      <c r="P80" s="3"/>
      <c r="Q80" s="6"/>
      <c r="R80" s="6"/>
      <c r="S80" s="3"/>
      <c r="T80" s="6"/>
      <c r="U80" s="3"/>
      <c r="V80" s="6"/>
      <c r="W80" s="6"/>
      <c r="X80" s="3"/>
      <c r="Y80" s="6"/>
      <c r="Z80" s="3"/>
      <c r="AA80" s="6"/>
      <c r="AB80" s="6"/>
      <c r="AC80" s="3"/>
    </row>
    <row r="81" spans="1:29" ht="15.75" customHeight="1" x14ac:dyDescent="0.2">
      <c r="A81" s="2"/>
      <c r="B81" s="2"/>
      <c r="C81" s="2"/>
      <c r="D81" s="14"/>
      <c r="E81" s="6"/>
      <c r="F81" s="3"/>
      <c r="G81" s="6"/>
      <c r="H81" s="6"/>
      <c r="I81" s="3"/>
      <c r="J81" s="6"/>
      <c r="K81" s="3"/>
      <c r="L81" s="6"/>
      <c r="M81" s="6"/>
      <c r="N81" s="3"/>
      <c r="O81" s="6"/>
      <c r="P81" s="3"/>
      <c r="Q81" s="6"/>
      <c r="R81" s="6"/>
      <c r="S81" s="3"/>
      <c r="T81" s="6"/>
      <c r="U81" s="3"/>
      <c r="V81" s="6"/>
      <c r="W81" s="6"/>
      <c r="X81" s="3"/>
      <c r="Y81" s="6"/>
      <c r="Z81" s="3"/>
      <c r="AA81" s="6"/>
      <c r="AB81" s="6"/>
      <c r="AC81" s="3"/>
    </row>
    <row r="82" spans="1:29" ht="15.75" customHeight="1" x14ac:dyDescent="0.2">
      <c r="A82" s="2"/>
      <c r="B82" s="2"/>
      <c r="C82" s="2"/>
      <c r="D82" s="14"/>
      <c r="E82" s="6"/>
      <c r="F82" s="3"/>
      <c r="G82" s="6"/>
      <c r="H82" s="6"/>
      <c r="I82" s="3"/>
      <c r="J82" s="6"/>
      <c r="K82" s="3"/>
      <c r="L82" s="6"/>
      <c r="M82" s="6"/>
      <c r="N82" s="3"/>
      <c r="O82" s="6"/>
      <c r="P82" s="3"/>
      <c r="Q82" s="6"/>
      <c r="R82" s="6"/>
      <c r="S82" s="3"/>
      <c r="T82" s="6"/>
      <c r="U82" s="3"/>
      <c r="V82" s="6"/>
      <c r="W82" s="6"/>
      <c r="X82" s="3"/>
      <c r="Y82" s="6"/>
      <c r="Z82" s="3"/>
      <c r="AA82" s="6"/>
      <c r="AB82" s="6"/>
      <c r="AC82" s="3"/>
    </row>
    <row r="83" spans="1:29" ht="15.75" customHeight="1" x14ac:dyDescent="0.2">
      <c r="A83" s="2"/>
      <c r="B83" s="2"/>
      <c r="C83" s="2"/>
      <c r="D83" s="14"/>
      <c r="E83" s="6"/>
      <c r="F83" s="3"/>
      <c r="G83" s="6"/>
      <c r="H83" s="6"/>
      <c r="I83" s="3"/>
      <c r="J83" s="6"/>
      <c r="K83" s="3"/>
      <c r="L83" s="6"/>
      <c r="M83" s="6"/>
      <c r="N83" s="3"/>
      <c r="O83" s="6"/>
      <c r="P83" s="3"/>
      <c r="Q83" s="6"/>
      <c r="R83" s="6"/>
      <c r="S83" s="3"/>
      <c r="T83" s="6"/>
      <c r="U83" s="3"/>
      <c r="V83" s="6"/>
      <c r="W83" s="6"/>
      <c r="X83" s="3"/>
      <c r="Y83" s="6"/>
      <c r="Z83" s="3"/>
      <c r="AA83" s="6"/>
      <c r="AB83" s="6"/>
      <c r="AC83" s="3"/>
    </row>
    <row r="84" spans="1:29" ht="15.75" customHeight="1" x14ac:dyDescent="0.2">
      <c r="A84" s="2"/>
      <c r="B84" s="2"/>
      <c r="C84" s="2"/>
      <c r="D84" s="14"/>
      <c r="E84" s="6"/>
      <c r="F84" s="3"/>
      <c r="G84" s="6"/>
      <c r="H84" s="6"/>
      <c r="I84" s="3"/>
      <c r="J84" s="6"/>
      <c r="K84" s="3"/>
      <c r="L84" s="6"/>
      <c r="M84" s="6"/>
      <c r="N84" s="3"/>
      <c r="O84" s="6"/>
      <c r="P84" s="3"/>
      <c r="Q84" s="6"/>
      <c r="R84" s="6"/>
      <c r="S84" s="3"/>
      <c r="T84" s="6"/>
      <c r="U84" s="3"/>
      <c r="V84" s="6"/>
      <c r="W84" s="6"/>
      <c r="X84" s="3"/>
      <c r="Y84" s="6"/>
      <c r="Z84" s="3"/>
      <c r="AA84" s="6"/>
      <c r="AB84" s="6"/>
      <c r="AC84" s="3"/>
    </row>
    <row r="85" spans="1:29" ht="15.75" customHeight="1" x14ac:dyDescent="0.2">
      <c r="A85" s="2"/>
      <c r="B85" s="2"/>
      <c r="C85" s="2"/>
      <c r="D85" s="14"/>
      <c r="E85" s="6"/>
      <c r="F85" s="3"/>
      <c r="G85" s="6"/>
      <c r="H85" s="6"/>
      <c r="I85" s="3"/>
      <c r="J85" s="6"/>
      <c r="K85" s="3"/>
      <c r="L85" s="6"/>
      <c r="M85" s="6"/>
      <c r="N85" s="3"/>
      <c r="O85" s="6"/>
      <c r="P85" s="3"/>
      <c r="Q85" s="6"/>
      <c r="R85" s="6"/>
      <c r="S85" s="3"/>
      <c r="T85" s="6"/>
      <c r="U85" s="3"/>
      <c r="V85" s="6"/>
      <c r="W85" s="6"/>
      <c r="X85" s="3"/>
      <c r="Y85" s="6"/>
      <c r="Z85" s="3"/>
      <c r="AA85" s="6"/>
      <c r="AB85" s="6"/>
      <c r="AC85" s="3"/>
    </row>
    <row r="86" spans="1:29" ht="15.75" customHeight="1" x14ac:dyDescent="0.2">
      <c r="A86" s="2"/>
      <c r="B86" s="2"/>
      <c r="C86" s="2"/>
      <c r="D86" s="14"/>
      <c r="E86" s="6"/>
      <c r="F86" s="3"/>
      <c r="G86" s="6"/>
      <c r="H86" s="6"/>
      <c r="I86" s="3"/>
      <c r="J86" s="6"/>
      <c r="K86" s="3"/>
      <c r="L86" s="6"/>
      <c r="M86" s="6"/>
      <c r="N86" s="3"/>
      <c r="O86" s="6"/>
      <c r="P86" s="3"/>
      <c r="Q86" s="6"/>
      <c r="R86" s="6"/>
      <c r="S86" s="3"/>
      <c r="T86" s="6"/>
      <c r="U86" s="3"/>
      <c r="V86" s="6"/>
      <c r="W86" s="6"/>
      <c r="X86" s="3"/>
      <c r="Y86" s="6"/>
      <c r="Z86" s="3"/>
      <c r="AA86" s="6"/>
      <c r="AB86" s="6"/>
      <c r="AC86" s="3"/>
    </row>
    <row r="87" spans="1:29" ht="15.75" customHeight="1" x14ac:dyDescent="0.2">
      <c r="A87" s="2"/>
      <c r="B87" s="2"/>
      <c r="C87" s="2"/>
      <c r="D87" s="14"/>
      <c r="E87" s="6"/>
      <c r="F87" s="3"/>
      <c r="G87" s="6"/>
      <c r="H87" s="6"/>
      <c r="I87" s="3"/>
      <c r="J87" s="6"/>
      <c r="K87" s="3"/>
      <c r="L87" s="6"/>
      <c r="M87" s="6"/>
      <c r="N87" s="3"/>
      <c r="O87" s="6"/>
      <c r="P87" s="3"/>
      <c r="Q87" s="6"/>
      <c r="R87" s="6"/>
      <c r="S87" s="3"/>
      <c r="T87" s="6"/>
      <c r="U87" s="3"/>
      <c r="V87" s="6"/>
      <c r="W87" s="6"/>
      <c r="X87" s="3"/>
      <c r="Y87" s="6"/>
      <c r="Z87" s="3"/>
      <c r="AA87" s="6"/>
      <c r="AB87" s="6"/>
      <c r="AC87" s="3"/>
    </row>
    <row r="88" spans="1:29" ht="15.75" customHeight="1" x14ac:dyDescent="0.2">
      <c r="A88" s="2"/>
      <c r="B88" s="2"/>
      <c r="C88" s="2"/>
      <c r="D88" s="14"/>
      <c r="E88" s="6"/>
      <c r="F88" s="3"/>
      <c r="G88" s="6"/>
      <c r="H88" s="6"/>
      <c r="I88" s="3"/>
      <c r="J88" s="6"/>
      <c r="K88" s="3"/>
      <c r="L88" s="6"/>
      <c r="M88" s="6"/>
      <c r="N88" s="3"/>
      <c r="O88" s="6"/>
      <c r="P88" s="3"/>
      <c r="Q88" s="6"/>
      <c r="R88" s="6"/>
      <c r="S88" s="3"/>
      <c r="T88" s="6"/>
      <c r="U88" s="3"/>
      <c r="V88" s="6"/>
      <c r="W88" s="6"/>
      <c r="X88" s="3"/>
      <c r="Y88" s="6"/>
      <c r="Z88" s="3"/>
      <c r="AA88" s="6"/>
      <c r="AB88" s="6"/>
      <c r="AC88" s="3"/>
    </row>
    <row r="89" spans="1:29" ht="15.75" customHeight="1" x14ac:dyDescent="0.2">
      <c r="A89" s="2"/>
      <c r="B89" s="2"/>
      <c r="C89" s="2"/>
      <c r="D89" s="14"/>
      <c r="E89" s="6"/>
      <c r="F89" s="3"/>
      <c r="G89" s="6"/>
      <c r="H89" s="6"/>
      <c r="I89" s="3"/>
      <c r="J89" s="6"/>
      <c r="K89" s="3"/>
      <c r="L89" s="6"/>
      <c r="M89" s="6"/>
      <c r="N89" s="3"/>
      <c r="O89" s="6"/>
      <c r="P89" s="3"/>
      <c r="Q89" s="6"/>
      <c r="R89" s="6"/>
      <c r="S89" s="3"/>
      <c r="T89" s="6"/>
      <c r="U89" s="3"/>
      <c r="V89" s="6"/>
      <c r="W89" s="6"/>
      <c r="X89" s="3"/>
      <c r="Y89" s="6"/>
      <c r="Z89" s="3"/>
      <c r="AA89" s="6"/>
      <c r="AB89" s="6"/>
      <c r="AC89" s="3"/>
    </row>
    <row r="90" spans="1:29" ht="15.75" customHeight="1" x14ac:dyDescent="0.2">
      <c r="A90" s="2"/>
      <c r="B90" s="2"/>
      <c r="C90" s="2"/>
      <c r="D90" s="14"/>
      <c r="E90" s="6"/>
      <c r="F90" s="3"/>
      <c r="G90" s="6"/>
      <c r="H90" s="6"/>
      <c r="I90" s="3"/>
      <c r="J90" s="6"/>
      <c r="K90" s="3"/>
      <c r="L90" s="6"/>
      <c r="M90" s="6"/>
      <c r="N90" s="3"/>
      <c r="O90" s="6"/>
      <c r="P90" s="3"/>
      <c r="Q90" s="6"/>
      <c r="R90" s="6"/>
      <c r="S90" s="3"/>
      <c r="T90" s="6"/>
      <c r="U90" s="3"/>
      <c r="V90" s="6"/>
      <c r="W90" s="6"/>
      <c r="X90" s="3"/>
      <c r="Y90" s="6"/>
      <c r="Z90" s="3"/>
      <c r="AA90" s="6"/>
      <c r="AB90" s="6"/>
      <c r="AC90" s="3"/>
    </row>
    <row r="91" spans="1:29" ht="15.75" customHeight="1" x14ac:dyDescent="0.2">
      <c r="A91" s="2"/>
      <c r="B91" s="2"/>
      <c r="C91" s="2"/>
      <c r="D91" s="14"/>
      <c r="E91" s="6"/>
      <c r="F91" s="3"/>
      <c r="G91" s="6"/>
      <c r="H91" s="6"/>
      <c r="I91" s="3"/>
      <c r="J91" s="6"/>
      <c r="K91" s="3"/>
      <c r="L91" s="6"/>
      <c r="M91" s="6"/>
      <c r="N91" s="3"/>
      <c r="O91" s="6"/>
      <c r="P91" s="3"/>
      <c r="Q91" s="6"/>
      <c r="R91" s="6"/>
      <c r="S91" s="3"/>
      <c r="T91" s="6"/>
      <c r="U91" s="3"/>
      <c r="V91" s="6"/>
      <c r="W91" s="6"/>
      <c r="X91" s="3"/>
      <c r="Y91" s="6"/>
      <c r="Z91" s="3"/>
      <c r="AA91" s="6"/>
      <c r="AB91" s="6"/>
      <c r="AC91" s="3"/>
    </row>
    <row r="92" spans="1:29" ht="15.75" customHeight="1" x14ac:dyDescent="0.2">
      <c r="A92" s="2"/>
      <c r="B92" s="2"/>
      <c r="C92" s="2"/>
      <c r="D92" s="14"/>
      <c r="E92" s="6"/>
      <c r="F92" s="3"/>
      <c r="G92" s="6"/>
      <c r="H92" s="6"/>
      <c r="I92" s="3"/>
      <c r="J92" s="6"/>
      <c r="K92" s="3"/>
      <c r="L92" s="6"/>
      <c r="M92" s="6"/>
      <c r="N92" s="3"/>
      <c r="O92" s="6"/>
      <c r="P92" s="3"/>
      <c r="Q92" s="6"/>
      <c r="R92" s="6"/>
      <c r="S92" s="3"/>
      <c r="T92" s="6"/>
      <c r="U92" s="3"/>
      <c r="V92" s="6"/>
      <c r="W92" s="6"/>
      <c r="X92" s="3"/>
      <c r="Y92" s="6"/>
      <c r="Z92" s="3"/>
      <c r="AA92" s="6"/>
      <c r="AB92" s="6"/>
      <c r="AC92" s="3"/>
    </row>
    <row r="93" spans="1:29" ht="15.75" customHeight="1" x14ac:dyDescent="0.2">
      <c r="A93" s="2"/>
      <c r="B93" s="2"/>
      <c r="C93" s="2"/>
      <c r="D93" s="14"/>
      <c r="E93" s="6"/>
      <c r="F93" s="3"/>
      <c r="G93" s="6"/>
      <c r="H93" s="6"/>
      <c r="I93" s="3"/>
      <c r="J93" s="6"/>
      <c r="K93" s="3"/>
      <c r="L93" s="6"/>
      <c r="M93" s="6"/>
      <c r="N93" s="3"/>
      <c r="O93" s="6"/>
      <c r="P93" s="3"/>
      <c r="Q93" s="6"/>
      <c r="R93" s="6"/>
      <c r="S93" s="3"/>
      <c r="T93" s="6"/>
      <c r="U93" s="3"/>
      <c r="V93" s="6"/>
      <c r="W93" s="6"/>
      <c r="X93" s="3"/>
      <c r="Y93" s="6"/>
      <c r="Z93" s="3"/>
      <c r="AA93" s="6"/>
      <c r="AB93" s="6"/>
      <c r="AC93" s="3"/>
    </row>
    <row r="94" spans="1:29" ht="15.75" customHeight="1" x14ac:dyDescent="0.2">
      <c r="A94" s="2"/>
      <c r="B94" s="2"/>
      <c r="C94" s="2"/>
      <c r="D94" s="14"/>
      <c r="E94" s="6"/>
      <c r="F94" s="3"/>
      <c r="G94" s="6"/>
      <c r="H94" s="6"/>
      <c r="I94" s="3"/>
      <c r="J94" s="6"/>
      <c r="K94" s="3"/>
      <c r="L94" s="6"/>
      <c r="M94" s="6"/>
      <c r="N94" s="3"/>
      <c r="O94" s="6"/>
      <c r="P94" s="3"/>
      <c r="Q94" s="6"/>
      <c r="R94" s="6"/>
      <c r="S94" s="3"/>
      <c r="T94" s="6"/>
      <c r="U94" s="3"/>
      <c r="V94" s="6"/>
      <c r="W94" s="6"/>
      <c r="X94" s="3"/>
      <c r="Y94" s="6"/>
      <c r="Z94" s="3"/>
      <c r="AA94" s="6"/>
      <c r="AB94" s="6"/>
      <c r="AC94" s="3"/>
    </row>
    <row r="95" spans="1:29" ht="15.75" customHeight="1" x14ac:dyDescent="0.2">
      <c r="A95" s="2"/>
      <c r="B95" s="2"/>
      <c r="C95" s="2"/>
      <c r="D95" s="14"/>
      <c r="E95" s="6"/>
      <c r="F95" s="3"/>
      <c r="G95" s="6"/>
      <c r="H95" s="6"/>
      <c r="I95" s="3"/>
      <c r="J95" s="6"/>
      <c r="K95" s="3"/>
      <c r="L95" s="6"/>
      <c r="M95" s="6"/>
      <c r="N95" s="3"/>
      <c r="O95" s="6"/>
      <c r="P95" s="3"/>
      <c r="Q95" s="6"/>
      <c r="R95" s="6"/>
      <c r="S95" s="3"/>
      <c r="T95" s="6"/>
      <c r="U95" s="3"/>
      <c r="V95" s="6"/>
      <c r="W95" s="6"/>
      <c r="X95" s="3"/>
      <c r="Y95" s="6"/>
      <c r="Z95" s="3"/>
      <c r="AA95" s="6"/>
      <c r="AB95" s="6"/>
      <c r="AC95" s="3"/>
    </row>
    <row r="96" spans="1:29" ht="15.75" customHeight="1" x14ac:dyDescent="0.2">
      <c r="A96" s="2"/>
      <c r="B96" s="2"/>
      <c r="C96" s="2"/>
      <c r="D96" s="14"/>
      <c r="E96" s="6"/>
      <c r="F96" s="3"/>
      <c r="G96" s="6"/>
      <c r="H96" s="6"/>
      <c r="I96" s="3"/>
      <c r="J96" s="6"/>
      <c r="K96" s="3"/>
      <c r="L96" s="6"/>
      <c r="M96" s="6"/>
      <c r="N96" s="3"/>
      <c r="O96" s="6"/>
      <c r="P96" s="3"/>
      <c r="Q96" s="6"/>
      <c r="R96" s="6"/>
      <c r="S96" s="3"/>
      <c r="T96" s="6"/>
      <c r="U96" s="3"/>
      <c r="V96" s="6"/>
      <c r="W96" s="6"/>
      <c r="X96" s="3"/>
      <c r="Y96" s="6"/>
      <c r="Z96" s="3"/>
      <c r="AA96" s="6"/>
      <c r="AB96" s="6"/>
      <c r="AC96" s="3"/>
    </row>
    <row r="97" spans="1:29" ht="15.75" customHeight="1" x14ac:dyDescent="0.2">
      <c r="A97" s="2"/>
      <c r="B97" s="2"/>
      <c r="C97" s="2"/>
      <c r="D97" s="14"/>
      <c r="E97" s="6"/>
      <c r="F97" s="3"/>
      <c r="G97" s="6"/>
      <c r="H97" s="6"/>
      <c r="I97" s="3"/>
      <c r="J97" s="6"/>
      <c r="K97" s="3"/>
      <c r="L97" s="6"/>
      <c r="M97" s="6"/>
      <c r="N97" s="3"/>
      <c r="O97" s="6"/>
      <c r="P97" s="3"/>
      <c r="Q97" s="6"/>
      <c r="R97" s="6"/>
      <c r="S97" s="3"/>
      <c r="T97" s="6"/>
      <c r="U97" s="3"/>
      <c r="V97" s="6"/>
      <c r="W97" s="6"/>
      <c r="X97" s="3"/>
      <c r="Y97" s="6"/>
      <c r="Z97" s="3"/>
      <c r="AA97" s="6"/>
      <c r="AB97" s="6"/>
      <c r="AC97" s="3"/>
    </row>
    <row r="98" spans="1:29" ht="15.75" customHeight="1" x14ac:dyDescent="0.2">
      <c r="A98" s="2"/>
      <c r="B98" s="2"/>
      <c r="C98" s="2"/>
      <c r="D98" s="14"/>
      <c r="E98" s="6"/>
      <c r="F98" s="3"/>
      <c r="G98" s="6"/>
      <c r="H98" s="6"/>
      <c r="I98" s="3"/>
      <c r="J98" s="6"/>
      <c r="K98" s="3"/>
      <c r="L98" s="6"/>
      <c r="M98" s="6"/>
      <c r="N98" s="3"/>
      <c r="O98" s="6"/>
      <c r="P98" s="3"/>
      <c r="Q98" s="6"/>
      <c r="R98" s="6"/>
      <c r="S98" s="3"/>
      <c r="T98" s="6"/>
      <c r="U98" s="3"/>
      <c r="V98" s="6"/>
      <c r="W98" s="6"/>
      <c r="X98" s="3"/>
      <c r="Y98" s="6"/>
      <c r="Z98" s="3"/>
      <c r="AA98" s="6"/>
      <c r="AB98" s="6"/>
      <c r="AC98" s="3"/>
    </row>
    <row r="99" spans="1:29" ht="15.75" customHeight="1" x14ac:dyDescent="0.2">
      <c r="A99" s="2"/>
      <c r="B99" s="2"/>
      <c r="C99" s="2"/>
      <c r="D99" s="14"/>
      <c r="E99" s="6"/>
      <c r="F99" s="3"/>
      <c r="G99" s="6"/>
      <c r="H99" s="6"/>
      <c r="I99" s="3"/>
      <c r="J99" s="6"/>
      <c r="K99" s="3"/>
      <c r="L99" s="6"/>
      <c r="M99" s="6"/>
      <c r="N99" s="3"/>
      <c r="O99" s="6"/>
      <c r="P99" s="3"/>
      <c r="Q99" s="6"/>
      <c r="R99" s="6"/>
      <c r="S99" s="3"/>
      <c r="T99" s="6"/>
      <c r="U99" s="3"/>
      <c r="V99" s="6"/>
      <c r="W99" s="6"/>
      <c r="X99" s="3"/>
      <c r="Y99" s="6"/>
      <c r="Z99" s="3"/>
      <c r="AA99" s="6"/>
      <c r="AB99" s="6"/>
      <c r="AC99" s="3"/>
    </row>
    <row r="100" spans="1:29" ht="15.75" customHeight="1" x14ac:dyDescent="0.2">
      <c r="A100" s="2"/>
      <c r="B100" s="2"/>
      <c r="C100" s="2"/>
      <c r="D100" s="14"/>
      <c r="E100" s="6"/>
      <c r="F100" s="3"/>
      <c r="G100" s="6"/>
      <c r="H100" s="6"/>
      <c r="I100" s="3"/>
      <c r="J100" s="6"/>
      <c r="K100" s="3"/>
      <c r="L100" s="6"/>
      <c r="M100" s="6"/>
      <c r="N100" s="3"/>
      <c r="O100" s="6"/>
      <c r="P100" s="3"/>
      <c r="Q100" s="6"/>
      <c r="R100" s="6"/>
      <c r="S100" s="3"/>
      <c r="T100" s="6"/>
      <c r="U100" s="3"/>
      <c r="V100" s="6"/>
      <c r="W100" s="6"/>
      <c r="X100" s="3"/>
      <c r="Y100" s="6"/>
      <c r="Z100" s="3"/>
      <c r="AA100" s="6"/>
      <c r="AB100" s="6"/>
      <c r="AC100" s="3"/>
    </row>
    <row r="101" spans="1:29" ht="15.75" customHeight="1" x14ac:dyDescent="0.2">
      <c r="A101" s="2"/>
      <c r="B101" s="2"/>
      <c r="C101" s="2"/>
      <c r="D101" s="14"/>
      <c r="E101" s="6"/>
      <c r="F101" s="3"/>
      <c r="G101" s="6"/>
      <c r="H101" s="6"/>
      <c r="I101" s="3"/>
      <c r="J101" s="6"/>
      <c r="K101" s="3"/>
      <c r="L101" s="6"/>
      <c r="M101" s="6"/>
      <c r="N101" s="3"/>
      <c r="O101" s="6"/>
      <c r="P101" s="3"/>
      <c r="Q101" s="6"/>
      <c r="R101" s="6"/>
      <c r="S101" s="3"/>
      <c r="T101" s="6"/>
      <c r="U101" s="3"/>
      <c r="V101" s="6"/>
      <c r="W101" s="6"/>
      <c r="X101" s="3"/>
      <c r="Y101" s="6"/>
      <c r="Z101" s="3"/>
      <c r="AA101" s="6"/>
      <c r="AB101" s="6"/>
      <c r="AC101" s="3"/>
    </row>
    <row r="102" spans="1:29" ht="15.75" customHeight="1" x14ac:dyDescent="0.2">
      <c r="A102" s="2"/>
      <c r="B102" s="2"/>
      <c r="C102" s="2"/>
      <c r="D102" s="14"/>
      <c r="E102" s="6"/>
      <c r="F102" s="3"/>
      <c r="G102" s="6"/>
      <c r="H102" s="6"/>
      <c r="I102" s="3"/>
      <c r="J102" s="6"/>
      <c r="K102" s="3"/>
      <c r="L102" s="6"/>
      <c r="M102" s="6"/>
      <c r="N102" s="3"/>
      <c r="O102" s="6"/>
      <c r="P102" s="3"/>
      <c r="Q102" s="6"/>
      <c r="R102" s="6"/>
      <c r="S102" s="3"/>
      <c r="T102" s="6"/>
      <c r="U102" s="3"/>
      <c r="V102" s="6"/>
      <c r="W102" s="6"/>
      <c r="X102" s="3"/>
      <c r="Y102" s="6"/>
      <c r="Z102" s="3"/>
      <c r="AA102" s="6"/>
      <c r="AB102" s="6"/>
      <c r="AC102" s="3"/>
    </row>
    <row r="103" spans="1:29" ht="15.75" customHeight="1" x14ac:dyDescent="0.2">
      <c r="A103" s="2"/>
      <c r="B103" s="2"/>
      <c r="C103" s="2"/>
      <c r="D103" s="14"/>
      <c r="E103" s="6"/>
      <c r="F103" s="3"/>
      <c r="G103" s="6"/>
      <c r="H103" s="6"/>
      <c r="I103" s="3"/>
      <c r="J103" s="6"/>
      <c r="K103" s="3"/>
      <c r="L103" s="6"/>
      <c r="M103" s="6"/>
      <c r="N103" s="3"/>
      <c r="O103" s="6"/>
      <c r="P103" s="3"/>
      <c r="Q103" s="6"/>
      <c r="R103" s="6"/>
      <c r="S103" s="3"/>
      <c r="T103" s="6"/>
      <c r="U103" s="3"/>
      <c r="V103" s="6"/>
      <c r="W103" s="6"/>
      <c r="X103" s="3"/>
      <c r="Y103" s="6"/>
      <c r="Z103" s="3"/>
      <c r="AA103" s="6"/>
      <c r="AB103" s="6"/>
      <c r="AC103" s="3"/>
    </row>
    <row r="104" spans="1:29" ht="15.75" customHeight="1" x14ac:dyDescent="0.2">
      <c r="A104" s="2"/>
      <c r="B104" s="2"/>
      <c r="C104" s="2"/>
      <c r="D104" s="14"/>
      <c r="E104" s="6"/>
      <c r="F104" s="3"/>
      <c r="G104" s="6"/>
      <c r="H104" s="6"/>
      <c r="I104" s="3"/>
      <c r="J104" s="6"/>
      <c r="K104" s="3"/>
      <c r="L104" s="6"/>
      <c r="M104" s="6"/>
      <c r="N104" s="3"/>
      <c r="O104" s="6"/>
      <c r="P104" s="3"/>
      <c r="Q104" s="6"/>
      <c r="R104" s="6"/>
      <c r="S104" s="3"/>
      <c r="T104" s="6"/>
      <c r="U104" s="3"/>
      <c r="V104" s="6"/>
      <c r="W104" s="6"/>
      <c r="X104" s="3"/>
      <c r="Y104" s="6"/>
      <c r="Z104" s="3"/>
      <c r="AA104" s="6"/>
      <c r="AB104" s="6"/>
      <c r="AC104" s="3"/>
    </row>
    <row r="105" spans="1:29" ht="15.75" customHeight="1" x14ac:dyDescent="0.2">
      <c r="A105" s="2"/>
      <c r="B105" s="2"/>
      <c r="C105" s="2"/>
      <c r="D105" s="14"/>
      <c r="E105" s="6"/>
      <c r="F105" s="3"/>
      <c r="G105" s="6"/>
      <c r="H105" s="6"/>
      <c r="I105" s="3"/>
      <c r="J105" s="6"/>
      <c r="K105" s="3"/>
      <c r="L105" s="6"/>
      <c r="M105" s="6"/>
      <c r="N105" s="3"/>
      <c r="O105" s="6"/>
      <c r="P105" s="3"/>
      <c r="Q105" s="6"/>
      <c r="R105" s="6"/>
      <c r="S105" s="3"/>
      <c r="T105" s="6"/>
      <c r="U105" s="3"/>
      <c r="V105" s="6"/>
      <c r="W105" s="6"/>
      <c r="X105" s="3"/>
      <c r="Y105" s="6"/>
      <c r="Z105" s="3"/>
      <c r="AA105" s="6"/>
      <c r="AB105" s="6"/>
      <c r="AC105" s="3"/>
    </row>
    <row r="106" spans="1:29" ht="15.75" customHeight="1" x14ac:dyDescent="0.2">
      <c r="A106" s="2"/>
      <c r="B106" s="2"/>
      <c r="C106" s="2"/>
      <c r="D106" s="14"/>
      <c r="E106" s="6"/>
      <c r="F106" s="3"/>
      <c r="G106" s="6"/>
      <c r="H106" s="6"/>
      <c r="I106" s="3"/>
      <c r="J106" s="6"/>
      <c r="K106" s="3"/>
      <c r="L106" s="6"/>
      <c r="M106" s="6"/>
      <c r="N106" s="3"/>
      <c r="O106" s="6"/>
      <c r="P106" s="3"/>
      <c r="Q106" s="6"/>
      <c r="R106" s="6"/>
      <c r="S106" s="3"/>
      <c r="T106" s="6"/>
      <c r="U106" s="3"/>
      <c r="V106" s="6"/>
      <c r="W106" s="6"/>
      <c r="X106" s="3"/>
      <c r="Y106" s="6"/>
      <c r="Z106" s="3"/>
      <c r="AA106" s="6"/>
      <c r="AB106" s="6"/>
      <c r="AC106" s="3"/>
    </row>
    <row r="107" spans="1:29" ht="15.75" customHeight="1" x14ac:dyDescent="0.2">
      <c r="A107" s="2"/>
      <c r="B107" s="2"/>
      <c r="C107" s="2"/>
      <c r="D107" s="14"/>
      <c r="E107" s="6"/>
      <c r="F107" s="3"/>
      <c r="G107" s="6"/>
      <c r="H107" s="6"/>
      <c r="I107" s="3"/>
      <c r="J107" s="6"/>
      <c r="K107" s="3"/>
      <c r="L107" s="6"/>
      <c r="M107" s="6"/>
      <c r="N107" s="3"/>
      <c r="O107" s="6"/>
      <c r="P107" s="3"/>
      <c r="Q107" s="6"/>
      <c r="R107" s="6"/>
      <c r="S107" s="3"/>
      <c r="T107" s="6"/>
      <c r="U107" s="3"/>
      <c r="V107" s="6"/>
      <c r="W107" s="6"/>
      <c r="X107" s="3"/>
      <c r="Y107" s="6"/>
      <c r="Z107" s="3"/>
      <c r="AA107" s="6"/>
      <c r="AB107" s="6"/>
      <c r="AC107" s="3"/>
    </row>
    <row r="108" spans="1:29" ht="15.75" customHeight="1" x14ac:dyDescent="0.2">
      <c r="A108" s="2"/>
      <c r="B108" s="2"/>
      <c r="C108" s="2"/>
      <c r="D108" s="14"/>
      <c r="E108" s="6"/>
      <c r="F108" s="3"/>
      <c r="G108" s="6"/>
      <c r="H108" s="6"/>
      <c r="I108" s="3"/>
      <c r="J108" s="6"/>
      <c r="K108" s="3"/>
      <c r="L108" s="6"/>
      <c r="M108" s="6"/>
      <c r="N108" s="3"/>
      <c r="O108" s="6"/>
      <c r="P108" s="3"/>
      <c r="Q108" s="6"/>
      <c r="R108" s="6"/>
      <c r="S108" s="3"/>
      <c r="T108" s="6"/>
      <c r="U108" s="3"/>
      <c r="V108" s="6"/>
      <c r="W108" s="6"/>
      <c r="X108" s="3"/>
      <c r="Y108" s="6"/>
      <c r="Z108" s="3"/>
      <c r="AA108" s="6"/>
      <c r="AB108" s="6"/>
      <c r="AC108" s="3"/>
    </row>
    <row r="109" spans="1:29" ht="15.75" customHeight="1" x14ac:dyDescent="0.2">
      <c r="A109" s="2"/>
      <c r="B109" s="2"/>
      <c r="C109" s="2"/>
      <c r="D109" s="14"/>
      <c r="E109" s="6"/>
      <c r="F109" s="3"/>
      <c r="G109" s="6"/>
      <c r="H109" s="6"/>
      <c r="I109" s="3"/>
      <c r="J109" s="6"/>
      <c r="K109" s="3"/>
      <c r="L109" s="6"/>
      <c r="M109" s="6"/>
      <c r="N109" s="3"/>
      <c r="O109" s="6"/>
      <c r="P109" s="3"/>
      <c r="Q109" s="6"/>
      <c r="R109" s="6"/>
      <c r="S109" s="3"/>
      <c r="T109" s="6"/>
      <c r="U109" s="3"/>
      <c r="V109" s="6"/>
      <c r="W109" s="6"/>
      <c r="X109" s="3"/>
      <c r="Y109" s="6"/>
      <c r="Z109" s="3"/>
      <c r="AA109" s="6"/>
      <c r="AB109" s="6"/>
      <c r="AC109" s="3"/>
    </row>
    <row r="110" spans="1:29" ht="15.75" customHeight="1" x14ac:dyDescent="0.2">
      <c r="A110" s="2"/>
      <c r="B110" s="2"/>
      <c r="C110" s="2"/>
      <c r="D110" s="14"/>
      <c r="E110" s="6"/>
      <c r="F110" s="3"/>
      <c r="G110" s="6"/>
      <c r="H110" s="6"/>
      <c r="I110" s="3"/>
      <c r="J110" s="6"/>
      <c r="K110" s="3"/>
      <c r="L110" s="6"/>
      <c r="M110" s="6"/>
      <c r="N110" s="3"/>
      <c r="O110" s="6"/>
      <c r="P110" s="3"/>
      <c r="Q110" s="6"/>
      <c r="R110" s="6"/>
      <c r="S110" s="3"/>
      <c r="T110" s="6"/>
      <c r="U110" s="3"/>
      <c r="V110" s="6"/>
      <c r="W110" s="6"/>
      <c r="X110" s="3"/>
      <c r="Y110" s="6"/>
      <c r="Z110" s="3"/>
      <c r="AA110" s="6"/>
      <c r="AB110" s="6"/>
      <c r="AC110" s="3"/>
    </row>
    <row r="111" spans="1:29" ht="15.75" customHeight="1" x14ac:dyDescent="0.2">
      <c r="A111" s="2"/>
      <c r="B111" s="2"/>
      <c r="C111" s="2"/>
      <c r="D111" s="14"/>
      <c r="E111" s="6"/>
      <c r="F111" s="3"/>
      <c r="G111" s="6"/>
      <c r="H111" s="6"/>
      <c r="I111" s="3"/>
      <c r="J111" s="6"/>
      <c r="K111" s="3"/>
      <c r="L111" s="6"/>
      <c r="M111" s="6"/>
      <c r="N111" s="3"/>
      <c r="O111" s="6"/>
      <c r="P111" s="3"/>
      <c r="Q111" s="6"/>
      <c r="R111" s="6"/>
      <c r="S111" s="3"/>
      <c r="T111" s="6"/>
      <c r="U111" s="3"/>
      <c r="V111" s="6"/>
      <c r="W111" s="6"/>
      <c r="X111" s="3"/>
      <c r="Y111" s="6"/>
      <c r="Z111" s="3"/>
      <c r="AA111" s="6"/>
      <c r="AB111" s="6"/>
      <c r="AC111" s="3"/>
    </row>
    <row r="112" spans="1:29" ht="15.75" customHeight="1" x14ac:dyDescent="0.2">
      <c r="A112" s="2"/>
      <c r="B112" s="2"/>
      <c r="C112" s="2"/>
      <c r="D112" s="14"/>
      <c r="E112" s="6"/>
      <c r="F112" s="3"/>
      <c r="G112" s="6"/>
      <c r="H112" s="6"/>
      <c r="I112" s="3"/>
      <c r="J112" s="6"/>
      <c r="K112" s="3"/>
      <c r="L112" s="6"/>
      <c r="M112" s="6"/>
      <c r="N112" s="3"/>
      <c r="O112" s="6"/>
      <c r="P112" s="3"/>
      <c r="Q112" s="6"/>
      <c r="R112" s="6"/>
      <c r="S112" s="3"/>
      <c r="T112" s="6"/>
      <c r="U112" s="3"/>
      <c r="V112" s="6"/>
      <c r="W112" s="6"/>
      <c r="X112" s="3"/>
      <c r="Y112" s="6"/>
      <c r="Z112" s="3"/>
      <c r="AA112" s="6"/>
      <c r="AB112" s="6"/>
      <c r="AC112" s="3"/>
    </row>
    <row r="113" spans="1:29" ht="15.75" customHeight="1" x14ac:dyDescent="0.2">
      <c r="A113" s="2"/>
      <c r="B113" s="2"/>
      <c r="C113" s="2"/>
      <c r="D113" s="14"/>
      <c r="E113" s="6"/>
      <c r="F113" s="3"/>
      <c r="G113" s="6"/>
      <c r="H113" s="6"/>
      <c r="I113" s="3"/>
      <c r="J113" s="6"/>
      <c r="K113" s="3"/>
      <c r="L113" s="6"/>
      <c r="M113" s="6"/>
      <c r="N113" s="3"/>
      <c r="O113" s="6"/>
      <c r="P113" s="3"/>
      <c r="Q113" s="6"/>
      <c r="R113" s="6"/>
      <c r="S113" s="3"/>
      <c r="T113" s="6"/>
      <c r="U113" s="3"/>
      <c r="V113" s="6"/>
      <c r="W113" s="6"/>
      <c r="X113" s="3"/>
      <c r="Y113" s="6"/>
      <c r="Z113" s="3"/>
      <c r="AA113" s="6"/>
      <c r="AB113" s="6"/>
      <c r="AC113" s="3"/>
    </row>
    <row r="114" spans="1:29" ht="15.75" customHeight="1" x14ac:dyDescent="0.2">
      <c r="A114" s="2"/>
      <c r="B114" s="2"/>
      <c r="C114" s="2"/>
      <c r="D114" s="14"/>
      <c r="E114" s="6"/>
      <c r="F114" s="3"/>
      <c r="G114" s="6"/>
      <c r="H114" s="6"/>
      <c r="I114" s="3"/>
      <c r="J114" s="6"/>
      <c r="K114" s="3"/>
      <c r="L114" s="6"/>
      <c r="M114" s="6"/>
      <c r="N114" s="3"/>
      <c r="O114" s="6"/>
      <c r="P114" s="3"/>
      <c r="Q114" s="6"/>
      <c r="R114" s="6"/>
      <c r="S114" s="3"/>
      <c r="T114" s="6"/>
      <c r="U114" s="3"/>
      <c r="V114" s="6"/>
      <c r="W114" s="6"/>
      <c r="X114" s="3"/>
      <c r="Y114" s="6"/>
      <c r="Z114" s="3"/>
      <c r="AA114" s="6"/>
      <c r="AB114" s="6"/>
      <c r="AC114" s="3"/>
    </row>
    <row r="115" spans="1:29" ht="15.75" customHeight="1" x14ac:dyDescent="0.2">
      <c r="A115" s="2"/>
      <c r="B115" s="2"/>
      <c r="C115" s="2"/>
      <c r="D115" s="14"/>
      <c r="E115" s="6"/>
      <c r="F115" s="3"/>
      <c r="G115" s="6"/>
      <c r="H115" s="6"/>
      <c r="I115" s="3"/>
      <c r="J115" s="6"/>
      <c r="K115" s="3"/>
      <c r="L115" s="6"/>
      <c r="M115" s="6"/>
      <c r="N115" s="3"/>
      <c r="O115" s="6"/>
      <c r="P115" s="3"/>
      <c r="Q115" s="6"/>
      <c r="R115" s="6"/>
      <c r="S115" s="3"/>
      <c r="T115" s="6"/>
      <c r="U115" s="3"/>
      <c r="V115" s="6"/>
      <c r="W115" s="6"/>
      <c r="X115" s="3"/>
      <c r="Y115" s="6"/>
      <c r="Z115" s="3"/>
      <c r="AA115" s="6"/>
      <c r="AB115" s="6"/>
      <c r="AC115" s="3"/>
    </row>
    <row r="116" spans="1:29" ht="15.75" customHeight="1" x14ac:dyDescent="0.2">
      <c r="A116" s="2"/>
      <c r="B116" s="2"/>
      <c r="C116" s="2"/>
      <c r="D116" s="14"/>
      <c r="E116" s="6"/>
      <c r="F116" s="3"/>
      <c r="G116" s="6"/>
      <c r="H116" s="6"/>
      <c r="I116" s="3"/>
      <c r="J116" s="6"/>
      <c r="K116" s="3"/>
      <c r="L116" s="6"/>
      <c r="M116" s="6"/>
      <c r="N116" s="3"/>
      <c r="O116" s="6"/>
      <c r="P116" s="3"/>
      <c r="Q116" s="6"/>
      <c r="R116" s="6"/>
      <c r="S116" s="3"/>
      <c r="T116" s="6"/>
      <c r="U116" s="3"/>
      <c r="V116" s="6"/>
      <c r="W116" s="6"/>
      <c r="X116" s="3"/>
      <c r="Y116" s="6"/>
      <c r="Z116" s="3"/>
      <c r="AA116" s="6"/>
      <c r="AB116" s="6"/>
      <c r="AC116" s="3"/>
    </row>
    <row r="117" spans="1:29" ht="15.75" customHeight="1" x14ac:dyDescent="0.2">
      <c r="A117" s="2"/>
      <c r="B117" s="2"/>
      <c r="C117" s="2"/>
      <c r="D117" s="14"/>
      <c r="E117" s="6"/>
      <c r="F117" s="3"/>
      <c r="G117" s="6"/>
      <c r="H117" s="6"/>
      <c r="I117" s="3"/>
      <c r="J117" s="6"/>
      <c r="K117" s="3"/>
      <c r="L117" s="6"/>
      <c r="M117" s="6"/>
      <c r="N117" s="3"/>
      <c r="O117" s="6"/>
      <c r="P117" s="3"/>
      <c r="Q117" s="6"/>
      <c r="R117" s="6"/>
      <c r="S117" s="3"/>
      <c r="T117" s="6"/>
      <c r="U117" s="3"/>
      <c r="V117" s="6"/>
      <c r="W117" s="6"/>
      <c r="X117" s="3"/>
      <c r="Y117" s="6"/>
      <c r="Z117" s="3"/>
      <c r="AA117" s="6"/>
      <c r="AB117" s="6"/>
      <c r="AC117" s="3"/>
    </row>
    <row r="118" spans="1:29" ht="15.75" customHeight="1" x14ac:dyDescent="0.2">
      <c r="A118" s="2"/>
      <c r="B118" s="2"/>
      <c r="C118" s="2"/>
      <c r="D118" s="14"/>
      <c r="E118" s="6"/>
      <c r="F118" s="3"/>
      <c r="G118" s="6"/>
      <c r="H118" s="6"/>
      <c r="I118" s="3"/>
      <c r="J118" s="6"/>
      <c r="K118" s="3"/>
      <c r="L118" s="6"/>
      <c r="M118" s="6"/>
      <c r="N118" s="3"/>
      <c r="O118" s="6"/>
      <c r="P118" s="3"/>
      <c r="Q118" s="6"/>
      <c r="R118" s="6"/>
      <c r="S118" s="3"/>
      <c r="T118" s="6"/>
      <c r="U118" s="3"/>
      <c r="V118" s="6"/>
      <c r="W118" s="6"/>
      <c r="X118" s="3"/>
      <c r="Y118" s="6"/>
      <c r="Z118" s="3"/>
      <c r="AA118" s="6"/>
      <c r="AB118" s="6"/>
      <c r="AC118" s="3"/>
    </row>
    <row r="119" spans="1:29" ht="15.75" customHeight="1" x14ac:dyDescent="0.2">
      <c r="A119" s="2"/>
      <c r="B119" s="2"/>
      <c r="C119" s="2"/>
      <c r="D119" s="14"/>
      <c r="E119" s="6"/>
      <c r="F119" s="3"/>
      <c r="G119" s="6"/>
      <c r="H119" s="6"/>
      <c r="I119" s="3"/>
      <c r="J119" s="6"/>
      <c r="K119" s="3"/>
      <c r="L119" s="6"/>
      <c r="M119" s="6"/>
      <c r="N119" s="3"/>
      <c r="O119" s="6"/>
      <c r="P119" s="3"/>
      <c r="Q119" s="6"/>
      <c r="R119" s="6"/>
      <c r="S119" s="3"/>
      <c r="T119" s="6"/>
      <c r="U119" s="3"/>
      <c r="V119" s="6"/>
      <c r="W119" s="6"/>
      <c r="X119" s="3"/>
      <c r="Y119" s="6"/>
      <c r="Z119" s="3"/>
      <c r="AA119" s="6"/>
      <c r="AB119" s="6"/>
      <c r="AC119" s="3"/>
    </row>
    <row r="120" spans="1:29" ht="15.75" customHeight="1" x14ac:dyDescent="0.2">
      <c r="A120" s="2"/>
      <c r="B120" s="2"/>
      <c r="C120" s="2"/>
      <c r="D120" s="14"/>
      <c r="E120" s="6"/>
      <c r="F120" s="3"/>
      <c r="G120" s="6"/>
      <c r="H120" s="6"/>
      <c r="I120" s="3"/>
      <c r="J120" s="6"/>
      <c r="K120" s="3"/>
      <c r="L120" s="6"/>
      <c r="M120" s="6"/>
      <c r="N120" s="3"/>
      <c r="O120" s="6"/>
      <c r="P120" s="3"/>
      <c r="Q120" s="6"/>
      <c r="R120" s="6"/>
      <c r="S120" s="3"/>
      <c r="T120" s="6"/>
      <c r="U120" s="3"/>
      <c r="V120" s="6"/>
      <c r="W120" s="6"/>
      <c r="X120" s="3"/>
      <c r="Y120" s="6"/>
      <c r="Z120" s="3"/>
      <c r="AA120" s="6"/>
      <c r="AB120" s="6"/>
      <c r="AC120" s="3"/>
    </row>
    <row r="121" spans="1:29" ht="15.75" customHeight="1" x14ac:dyDescent="0.2">
      <c r="A121" s="2"/>
      <c r="B121" s="2"/>
      <c r="C121" s="2"/>
      <c r="D121" s="14"/>
      <c r="E121" s="6"/>
      <c r="F121" s="3"/>
      <c r="G121" s="6"/>
      <c r="H121" s="6"/>
      <c r="I121" s="3"/>
      <c r="J121" s="6"/>
      <c r="K121" s="3"/>
      <c r="L121" s="6"/>
      <c r="M121" s="6"/>
      <c r="N121" s="3"/>
      <c r="O121" s="6"/>
      <c r="P121" s="3"/>
      <c r="Q121" s="6"/>
      <c r="R121" s="6"/>
      <c r="S121" s="3"/>
      <c r="T121" s="6"/>
      <c r="U121" s="3"/>
      <c r="V121" s="6"/>
      <c r="W121" s="6"/>
      <c r="X121" s="3"/>
      <c r="Y121" s="6"/>
      <c r="Z121" s="3"/>
      <c r="AA121" s="6"/>
      <c r="AB121" s="6"/>
      <c r="AC121" s="3"/>
    </row>
    <row r="122" spans="1:29" ht="15.75" customHeight="1" x14ac:dyDescent="0.2">
      <c r="A122" s="2"/>
      <c r="B122" s="2"/>
      <c r="C122" s="2"/>
      <c r="D122" s="14"/>
      <c r="E122" s="6"/>
      <c r="F122" s="3"/>
      <c r="G122" s="6"/>
      <c r="H122" s="6"/>
      <c r="I122" s="3"/>
      <c r="J122" s="6"/>
      <c r="K122" s="3"/>
      <c r="L122" s="6"/>
      <c r="M122" s="6"/>
      <c r="N122" s="3"/>
      <c r="O122" s="6"/>
      <c r="P122" s="3"/>
      <c r="Q122" s="6"/>
      <c r="R122" s="6"/>
      <c r="S122" s="3"/>
      <c r="T122" s="6"/>
      <c r="U122" s="3"/>
      <c r="V122" s="6"/>
      <c r="W122" s="6"/>
      <c r="X122" s="3"/>
      <c r="Y122" s="6"/>
      <c r="Z122" s="3"/>
      <c r="AA122" s="6"/>
      <c r="AB122" s="6"/>
      <c r="AC122" s="3"/>
    </row>
    <row r="123" spans="1:29" ht="15.75" customHeight="1" x14ac:dyDescent="0.2">
      <c r="A123" s="2"/>
      <c r="B123" s="2"/>
      <c r="C123" s="2"/>
      <c r="D123" s="14"/>
      <c r="E123" s="6"/>
      <c r="F123" s="3"/>
      <c r="G123" s="6"/>
      <c r="H123" s="6"/>
      <c r="I123" s="3"/>
      <c r="J123" s="6"/>
      <c r="K123" s="3"/>
      <c r="L123" s="6"/>
      <c r="M123" s="6"/>
      <c r="N123" s="3"/>
      <c r="O123" s="6"/>
      <c r="P123" s="3"/>
      <c r="Q123" s="6"/>
      <c r="R123" s="6"/>
      <c r="S123" s="3"/>
      <c r="T123" s="6"/>
      <c r="U123" s="3"/>
      <c r="V123" s="6"/>
      <c r="W123" s="6"/>
      <c r="X123" s="3"/>
      <c r="Y123" s="6"/>
      <c r="Z123" s="3"/>
      <c r="AA123" s="6"/>
      <c r="AB123" s="6"/>
      <c r="AC123" s="3"/>
    </row>
    <row r="124" spans="1:29" ht="15.75" customHeight="1" x14ac:dyDescent="0.2">
      <c r="A124" s="2"/>
      <c r="B124" s="2"/>
      <c r="C124" s="2"/>
      <c r="D124" s="14"/>
      <c r="E124" s="6"/>
      <c r="F124" s="3"/>
      <c r="G124" s="6"/>
      <c r="H124" s="6"/>
      <c r="I124" s="3"/>
      <c r="J124" s="6"/>
      <c r="K124" s="3"/>
      <c r="L124" s="6"/>
      <c r="M124" s="6"/>
      <c r="N124" s="3"/>
      <c r="O124" s="6"/>
      <c r="P124" s="3"/>
      <c r="Q124" s="6"/>
      <c r="R124" s="6"/>
      <c r="S124" s="3"/>
      <c r="T124" s="6"/>
      <c r="U124" s="3"/>
      <c r="V124" s="6"/>
      <c r="W124" s="6"/>
      <c r="X124" s="3"/>
      <c r="Y124" s="6"/>
      <c r="Z124" s="3"/>
      <c r="AA124" s="6"/>
      <c r="AB124" s="6"/>
      <c r="AC124" s="3"/>
    </row>
    <row r="125" spans="1:29" ht="15.75" customHeight="1" x14ac:dyDescent="0.2">
      <c r="A125" s="2"/>
      <c r="B125" s="2"/>
      <c r="C125" s="2"/>
      <c r="D125" s="14"/>
      <c r="E125" s="6"/>
      <c r="F125" s="3"/>
      <c r="G125" s="6"/>
      <c r="H125" s="6"/>
      <c r="I125" s="3"/>
      <c r="J125" s="6"/>
      <c r="K125" s="3"/>
      <c r="L125" s="6"/>
      <c r="M125" s="6"/>
      <c r="N125" s="3"/>
      <c r="O125" s="6"/>
      <c r="P125" s="3"/>
      <c r="Q125" s="6"/>
      <c r="R125" s="6"/>
      <c r="S125" s="3"/>
      <c r="T125" s="6"/>
      <c r="U125" s="3"/>
      <c r="V125" s="6"/>
      <c r="W125" s="6"/>
      <c r="X125" s="3"/>
      <c r="Y125" s="6"/>
      <c r="Z125" s="3"/>
      <c r="AA125" s="6"/>
      <c r="AB125" s="6"/>
      <c r="AC125" s="3"/>
    </row>
    <row r="126" spans="1:29" ht="15.75" customHeight="1" x14ac:dyDescent="0.2">
      <c r="A126" s="2"/>
      <c r="B126" s="2"/>
      <c r="C126" s="2"/>
      <c r="D126" s="14"/>
      <c r="E126" s="6"/>
      <c r="F126" s="3"/>
      <c r="G126" s="6"/>
      <c r="H126" s="6"/>
      <c r="I126" s="3"/>
      <c r="J126" s="6"/>
      <c r="K126" s="3"/>
      <c r="L126" s="6"/>
      <c r="M126" s="6"/>
      <c r="N126" s="3"/>
      <c r="O126" s="6"/>
      <c r="P126" s="3"/>
      <c r="Q126" s="6"/>
      <c r="R126" s="6"/>
      <c r="S126" s="3"/>
      <c r="T126" s="6"/>
      <c r="U126" s="3"/>
      <c r="V126" s="6"/>
      <c r="W126" s="6"/>
      <c r="X126" s="3"/>
      <c r="Y126" s="6"/>
      <c r="Z126" s="3"/>
      <c r="AA126" s="6"/>
      <c r="AB126" s="6"/>
      <c r="AC126" s="3"/>
    </row>
    <row r="127" spans="1:29" ht="15.75" customHeight="1" x14ac:dyDescent="0.2">
      <c r="A127" s="2"/>
      <c r="B127" s="2"/>
      <c r="C127" s="2"/>
      <c r="D127" s="14"/>
      <c r="E127" s="6"/>
      <c r="F127" s="3"/>
      <c r="G127" s="6"/>
      <c r="H127" s="6"/>
      <c r="I127" s="3"/>
      <c r="J127" s="6"/>
      <c r="K127" s="3"/>
      <c r="L127" s="6"/>
      <c r="M127" s="6"/>
      <c r="N127" s="3"/>
      <c r="O127" s="6"/>
      <c r="P127" s="3"/>
      <c r="Q127" s="6"/>
      <c r="R127" s="6"/>
      <c r="S127" s="3"/>
      <c r="T127" s="6"/>
      <c r="U127" s="3"/>
      <c r="V127" s="6"/>
      <c r="W127" s="6"/>
      <c r="X127" s="3"/>
      <c r="Y127" s="6"/>
      <c r="Z127" s="3"/>
      <c r="AA127" s="6"/>
      <c r="AB127" s="6"/>
      <c r="AC127" s="3"/>
    </row>
    <row r="128" spans="1:29" ht="15.75" customHeight="1" x14ac:dyDescent="0.2">
      <c r="A128" s="2"/>
      <c r="B128" s="2"/>
      <c r="C128" s="2"/>
      <c r="D128" s="14"/>
      <c r="E128" s="6"/>
      <c r="F128" s="3"/>
      <c r="G128" s="6"/>
      <c r="H128" s="6"/>
      <c r="I128" s="3"/>
      <c r="J128" s="6"/>
      <c r="K128" s="3"/>
      <c r="L128" s="6"/>
      <c r="M128" s="6"/>
      <c r="N128" s="3"/>
      <c r="O128" s="6"/>
      <c r="P128" s="3"/>
      <c r="Q128" s="6"/>
      <c r="R128" s="6"/>
      <c r="S128" s="3"/>
      <c r="T128" s="6"/>
      <c r="U128" s="3"/>
      <c r="V128" s="6"/>
      <c r="W128" s="6"/>
      <c r="X128" s="3"/>
      <c r="Y128" s="6"/>
      <c r="Z128" s="3"/>
      <c r="AA128" s="6"/>
      <c r="AB128" s="6"/>
      <c r="AC128" s="3"/>
    </row>
    <row r="129" spans="1:29" ht="15.75" customHeight="1" x14ac:dyDescent="0.2">
      <c r="A129" s="2"/>
      <c r="B129" s="2"/>
      <c r="C129" s="2"/>
      <c r="D129" s="14"/>
      <c r="E129" s="6"/>
      <c r="F129" s="3"/>
      <c r="G129" s="6"/>
      <c r="H129" s="6"/>
      <c r="I129" s="3"/>
      <c r="J129" s="6"/>
      <c r="K129" s="3"/>
      <c r="L129" s="6"/>
      <c r="M129" s="6"/>
      <c r="N129" s="3"/>
      <c r="O129" s="6"/>
      <c r="P129" s="3"/>
      <c r="Q129" s="6"/>
      <c r="R129" s="6"/>
      <c r="S129" s="3"/>
      <c r="T129" s="6"/>
      <c r="U129" s="3"/>
      <c r="V129" s="6"/>
      <c r="W129" s="6"/>
      <c r="X129" s="3"/>
      <c r="Y129" s="6"/>
      <c r="Z129" s="3"/>
      <c r="AA129" s="6"/>
      <c r="AB129" s="6"/>
      <c r="AC129" s="3"/>
    </row>
    <row r="130" spans="1:29" ht="15.75" customHeight="1" x14ac:dyDescent="0.2">
      <c r="A130" s="2"/>
      <c r="B130" s="2"/>
      <c r="C130" s="2"/>
      <c r="D130" s="14"/>
      <c r="E130" s="6"/>
      <c r="F130" s="3"/>
      <c r="G130" s="6"/>
      <c r="H130" s="6"/>
      <c r="I130" s="3"/>
      <c r="J130" s="6"/>
      <c r="K130" s="3"/>
      <c r="L130" s="6"/>
      <c r="M130" s="6"/>
      <c r="N130" s="3"/>
      <c r="O130" s="6"/>
      <c r="P130" s="3"/>
      <c r="Q130" s="6"/>
      <c r="R130" s="6"/>
      <c r="S130" s="3"/>
      <c r="T130" s="6"/>
      <c r="U130" s="3"/>
      <c r="V130" s="6"/>
      <c r="W130" s="6"/>
      <c r="X130" s="3"/>
      <c r="Y130" s="6"/>
      <c r="Z130" s="3"/>
      <c r="AA130" s="6"/>
      <c r="AB130" s="6"/>
      <c r="AC130" s="3"/>
    </row>
    <row r="131" spans="1:29" ht="15.75" customHeight="1" x14ac:dyDescent="0.2">
      <c r="A131" s="2"/>
      <c r="B131" s="2"/>
      <c r="C131" s="2"/>
      <c r="D131" s="14"/>
      <c r="E131" s="6"/>
      <c r="F131" s="3"/>
      <c r="G131" s="6"/>
      <c r="H131" s="6"/>
      <c r="I131" s="3"/>
      <c r="J131" s="6"/>
      <c r="K131" s="3"/>
      <c r="L131" s="6"/>
      <c r="M131" s="6"/>
      <c r="N131" s="3"/>
      <c r="O131" s="6"/>
      <c r="P131" s="3"/>
      <c r="Q131" s="6"/>
      <c r="R131" s="6"/>
      <c r="S131" s="3"/>
      <c r="T131" s="6"/>
      <c r="U131" s="3"/>
      <c r="V131" s="6"/>
      <c r="W131" s="6"/>
      <c r="X131" s="3"/>
      <c r="Y131" s="6"/>
      <c r="Z131" s="3"/>
      <c r="AA131" s="6"/>
      <c r="AB131" s="6"/>
      <c r="AC131" s="3"/>
    </row>
    <row r="132" spans="1:29" ht="15.75" customHeight="1" x14ac:dyDescent="0.2">
      <c r="A132" s="2"/>
      <c r="B132" s="2"/>
      <c r="C132" s="2"/>
      <c r="D132" s="14"/>
      <c r="E132" s="6"/>
      <c r="F132" s="3"/>
      <c r="G132" s="6"/>
      <c r="H132" s="6"/>
      <c r="I132" s="3"/>
      <c r="J132" s="6"/>
      <c r="K132" s="3"/>
      <c r="L132" s="6"/>
      <c r="M132" s="6"/>
      <c r="N132" s="3"/>
      <c r="O132" s="6"/>
      <c r="P132" s="3"/>
      <c r="Q132" s="6"/>
      <c r="R132" s="6"/>
      <c r="S132" s="3"/>
      <c r="T132" s="6"/>
      <c r="U132" s="3"/>
      <c r="V132" s="6"/>
      <c r="W132" s="6"/>
      <c r="X132" s="3"/>
      <c r="Y132" s="6"/>
      <c r="Z132" s="3"/>
      <c r="AA132" s="6"/>
      <c r="AB132" s="6"/>
      <c r="AC132" s="3"/>
    </row>
    <row r="133" spans="1:29" ht="15.75" customHeight="1" x14ac:dyDescent="0.2">
      <c r="A133" s="2"/>
      <c r="B133" s="2"/>
      <c r="C133" s="2"/>
      <c r="D133" s="14"/>
      <c r="E133" s="6"/>
      <c r="F133" s="3"/>
      <c r="G133" s="6"/>
      <c r="H133" s="6"/>
      <c r="I133" s="3"/>
      <c r="J133" s="6"/>
      <c r="K133" s="3"/>
      <c r="L133" s="6"/>
      <c r="M133" s="6"/>
      <c r="N133" s="3"/>
      <c r="O133" s="6"/>
      <c r="P133" s="3"/>
      <c r="Q133" s="6"/>
      <c r="R133" s="6"/>
      <c r="S133" s="3"/>
      <c r="T133" s="6"/>
      <c r="U133" s="3"/>
      <c r="V133" s="6"/>
      <c r="W133" s="6"/>
      <c r="X133" s="3"/>
      <c r="Y133" s="6"/>
      <c r="Z133" s="3"/>
      <c r="AA133" s="6"/>
      <c r="AB133" s="6"/>
      <c r="AC133" s="3"/>
    </row>
    <row r="134" spans="1:29" ht="15.75" customHeight="1" x14ac:dyDescent="0.2">
      <c r="A134" s="2"/>
      <c r="B134" s="2"/>
      <c r="C134" s="2"/>
      <c r="D134" s="14"/>
      <c r="E134" s="6"/>
      <c r="F134" s="3"/>
      <c r="G134" s="6"/>
      <c r="H134" s="6"/>
      <c r="I134" s="3"/>
      <c r="J134" s="6"/>
      <c r="K134" s="3"/>
      <c r="L134" s="6"/>
      <c r="M134" s="6"/>
      <c r="N134" s="3"/>
      <c r="O134" s="6"/>
      <c r="P134" s="3"/>
      <c r="Q134" s="6"/>
      <c r="R134" s="6"/>
      <c r="S134" s="3"/>
      <c r="T134" s="6"/>
      <c r="U134" s="3"/>
      <c r="V134" s="6"/>
      <c r="W134" s="6"/>
      <c r="X134" s="3"/>
      <c r="Y134" s="6"/>
      <c r="Z134" s="3"/>
      <c r="AA134" s="6"/>
      <c r="AB134" s="6"/>
      <c r="AC134" s="3"/>
    </row>
    <row r="135" spans="1:29" ht="15.75" customHeight="1" x14ac:dyDescent="0.2">
      <c r="A135" s="2"/>
      <c r="B135" s="2"/>
      <c r="C135" s="2"/>
      <c r="D135" s="14"/>
      <c r="E135" s="6"/>
      <c r="F135" s="3"/>
      <c r="G135" s="6"/>
      <c r="H135" s="6"/>
      <c r="I135" s="3"/>
      <c r="J135" s="6"/>
      <c r="K135" s="3"/>
      <c r="L135" s="6"/>
      <c r="M135" s="6"/>
      <c r="N135" s="3"/>
      <c r="O135" s="6"/>
      <c r="P135" s="3"/>
      <c r="Q135" s="6"/>
      <c r="R135" s="6"/>
      <c r="S135" s="3"/>
      <c r="T135" s="6"/>
      <c r="U135" s="3"/>
      <c r="V135" s="6"/>
      <c r="W135" s="6"/>
      <c r="X135" s="3"/>
      <c r="Y135" s="6"/>
      <c r="Z135" s="3"/>
      <c r="AA135" s="6"/>
      <c r="AB135" s="6"/>
      <c r="AC135" s="3"/>
    </row>
    <row r="136" spans="1:29" ht="15.75" customHeight="1" x14ac:dyDescent="0.2">
      <c r="A136" s="2"/>
      <c r="B136" s="2"/>
      <c r="C136" s="2"/>
      <c r="D136" s="14"/>
      <c r="E136" s="6"/>
      <c r="F136" s="3"/>
      <c r="G136" s="6"/>
      <c r="H136" s="6"/>
      <c r="I136" s="3"/>
      <c r="J136" s="6"/>
      <c r="K136" s="3"/>
      <c r="L136" s="6"/>
      <c r="M136" s="6"/>
      <c r="N136" s="3"/>
      <c r="O136" s="6"/>
      <c r="P136" s="3"/>
      <c r="Q136" s="6"/>
      <c r="R136" s="6"/>
      <c r="S136" s="3"/>
      <c r="T136" s="6"/>
      <c r="U136" s="3"/>
      <c r="V136" s="6"/>
      <c r="W136" s="6"/>
      <c r="X136" s="3"/>
      <c r="Y136" s="6"/>
      <c r="Z136" s="3"/>
      <c r="AA136" s="6"/>
      <c r="AB136" s="6"/>
      <c r="AC136" s="3"/>
    </row>
    <row r="137" spans="1:29" ht="15.75" customHeight="1" x14ac:dyDescent="0.2">
      <c r="A137" s="2"/>
      <c r="B137" s="2"/>
      <c r="C137" s="2"/>
      <c r="D137" s="14"/>
      <c r="E137" s="6"/>
      <c r="F137" s="3"/>
      <c r="G137" s="6"/>
      <c r="H137" s="6"/>
      <c r="I137" s="3"/>
      <c r="J137" s="6"/>
      <c r="K137" s="3"/>
      <c r="L137" s="6"/>
      <c r="M137" s="6"/>
      <c r="N137" s="3"/>
      <c r="O137" s="6"/>
      <c r="P137" s="3"/>
      <c r="Q137" s="6"/>
      <c r="R137" s="6"/>
      <c r="S137" s="3"/>
      <c r="T137" s="6"/>
      <c r="U137" s="3"/>
      <c r="V137" s="6"/>
      <c r="W137" s="6"/>
      <c r="X137" s="3"/>
      <c r="Y137" s="6"/>
      <c r="Z137" s="3"/>
      <c r="AA137" s="6"/>
      <c r="AB137" s="6"/>
      <c r="AC137" s="3"/>
    </row>
    <row r="138" spans="1:29" ht="15.75" customHeight="1" x14ac:dyDescent="0.2">
      <c r="A138" s="2"/>
      <c r="B138" s="2"/>
      <c r="C138" s="2"/>
      <c r="D138" s="14"/>
      <c r="E138" s="6"/>
      <c r="F138" s="3"/>
      <c r="G138" s="6"/>
      <c r="H138" s="6"/>
      <c r="I138" s="3"/>
      <c r="J138" s="6"/>
      <c r="K138" s="3"/>
      <c r="L138" s="6"/>
      <c r="M138" s="6"/>
      <c r="N138" s="3"/>
      <c r="O138" s="6"/>
      <c r="P138" s="3"/>
      <c r="Q138" s="6"/>
      <c r="R138" s="6"/>
      <c r="S138" s="3"/>
      <c r="T138" s="6"/>
      <c r="U138" s="3"/>
      <c r="V138" s="6"/>
      <c r="W138" s="6"/>
      <c r="X138" s="3"/>
      <c r="Y138" s="6"/>
      <c r="Z138" s="3"/>
      <c r="AA138" s="6"/>
      <c r="AB138" s="6"/>
      <c r="AC138" s="3"/>
    </row>
    <row r="139" spans="1:29" ht="15.75" customHeight="1" x14ac:dyDescent="0.2">
      <c r="A139" s="2"/>
      <c r="B139" s="2"/>
      <c r="C139" s="2"/>
      <c r="D139" s="14"/>
      <c r="E139" s="6"/>
      <c r="F139" s="3"/>
      <c r="G139" s="6"/>
      <c r="H139" s="6"/>
      <c r="I139" s="3"/>
      <c r="J139" s="6"/>
      <c r="K139" s="3"/>
      <c r="L139" s="6"/>
      <c r="M139" s="6"/>
      <c r="N139" s="3"/>
      <c r="O139" s="6"/>
      <c r="P139" s="3"/>
      <c r="Q139" s="6"/>
      <c r="R139" s="6"/>
      <c r="S139" s="3"/>
      <c r="T139" s="6"/>
      <c r="U139" s="3"/>
      <c r="V139" s="6"/>
      <c r="W139" s="6"/>
      <c r="X139" s="3"/>
      <c r="Y139" s="6"/>
      <c r="Z139" s="3"/>
      <c r="AA139" s="6"/>
      <c r="AB139" s="6"/>
      <c r="AC139" s="3"/>
    </row>
    <row r="140" spans="1:29" ht="15.75" customHeight="1" x14ac:dyDescent="0.2">
      <c r="A140" s="2"/>
      <c r="B140" s="2"/>
      <c r="C140" s="2"/>
      <c r="D140" s="14"/>
      <c r="E140" s="6"/>
      <c r="F140" s="3"/>
      <c r="G140" s="6"/>
      <c r="H140" s="6"/>
      <c r="I140" s="3"/>
      <c r="J140" s="6"/>
      <c r="K140" s="3"/>
      <c r="L140" s="6"/>
      <c r="M140" s="6"/>
      <c r="N140" s="3"/>
      <c r="O140" s="6"/>
      <c r="P140" s="3"/>
      <c r="Q140" s="6"/>
      <c r="R140" s="6"/>
      <c r="S140" s="3"/>
      <c r="T140" s="6"/>
      <c r="U140" s="3"/>
      <c r="V140" s="6"/>
      <c r="W140" s="6"/>
      <c r="X140" s="3"/>
      <c r="Y140" s="6"/>
      <c r="Z140" s="3"/>
      <c r="AA140" s="6"/>
      <c r="AB140" s="6"/>
      <c r="AC140" s="3"/>
    </row>
    <row r="141" spans="1:29" ht="15.75" customHeight="1" x14ac:dyDescent="0.2">
      <c r="A141" s="2"/>
      <c r="B141" s="2"/>
      <c r="C141" s="2"/>
      <c r="D141" s="14"/>
      <c r="E141" s="6"/>
      <c r="F141" s="3"/>
      <c r="G141" s="6"/>
      <c r="H141" s="6"/>
      <c r="I141" s="3"/>
      <c r="J141" s="6"/>
      <c r="K141" s="3"/>
      <c r="L141" s="6"/>
      <c r="M141" s="6"/>
      <c r="N141" s="3"/>
      <c r="O141" s="6"/>
      <c r="P141" s="3"/>
      <c r="Q141" s="6"/>
      <c r="R141" s="6"/>
      <c r="S141" s="3"/>
      <c r="T141" s="6"/>
      <c r="U141" s="3"/>
      <c r="V141" s="6"/>
      <c r="W141" s="6"/>
      <c r="X141" s="3"/>
      <c r="Y141" s="6"/>
      <c r="Z141" s="3"/>
      <c r="AA141" s="6"/>
      <c r="AB141" s="6"/>
      <c r="AC141" s="3"/>
    </row>
    <row r="142" spans="1:29" ht="15.75" customHeight="1" x14ac:dyDescent="0.2">
      <c r="A142" s="2"/>
      <c r="B142" s="2"/>
      <c r="C142" s="2"/>
      <c r="D142" s="14"/>
      <c r="E142" s="6"/>
      <c r="F142" s="3"/>
      <c r="G142" s="6"/>
      <c r="H142" s="6"/>
      <c r="I142" s="3"/>
      <c r="J142" s="6"/>
      <c r="K142" s="3"/>
      <c r="L142" s="6"/>
      <c r="M142" s="6"/>
      <c r="N142" s="3"/>
      <c r="O142" s="6"/>
      <c r="P142" s="3"/>
      <c r="Q142" s="6"/>
      <c r="R142" s="6"/>
      <c r="S142" s="3"/>
      <c r="T142" s="6"/>
      <c r="U142" s="3"/>
      <c r="V142" s="6"/>
      <c r="W142" s="6"/>
      <c r="X142" s="3"/>
      <c r="Y142" s="6"/>
      <c r="Z142" s="3"/>
      <c r="AA142" s="6"/>
      <c r="AB142" s="6"/>
      <c r="AC142" s="3"/>
    </row>
    <row r="143" spans="1:29" ht="15.75" customHeight="1" x14ac:dyDescent="0.2">
      <c r="A143" s="2"/>
      <c r="B143" s="2"/>
      <c r="C143" s="2"/>
      <c r="D143" s="14"/>
      <c r="E143" s="6"/>
      <c r="F143" s="3"/>
      <c r="G143" s="6"/>
      <c r="H143" s="6"/>
      <c r="I143" s="3"/>
      <c r="J143" s="6"/>
      <c r="K143" s="3"/>
      <c r="L143" s="6"/>
      <c r="M143" s="6"/>
      <c r="N143" s="3"/>
      <c r="O143" s="6"/>
      <c r="P143" s="3"/>
      <c r="Q143" s="6"/>
      <c r="R143" s="6"/>
      <c r="S143" s="3"/>
      <c r="T143" s="6"/>
      <c r="U143" s="3"/>
      <c r="V143" s="6"/>
      <c r="W143" s="6"/>
      <c r="X143" s="3"/>
      <c r="Y143" s="6"/>
      <c r="Z143" s="3"/>
      <c r="AA143" s="6"/>
      <c r="AB143" s="6"/>
      <c r="AC143" s="3"/>
    </row>
    <row r="144" spans="1:29" ht="15.75" customHeight="1" x14ac:dyDescent="0.2">
      <c r="A144" s="2"/>
      <c r="B144" s="2"/>
      <c r="C144" s="2"/>
      <c r="D144" s="14"/>
      <c r="E144" s="6"/>
      <c r="F144" s="3"/>
      <c r="G144" s="6"/>
      <c r="H144" s="6"/>
      <c r="I144" s="3"/>
      <c r="J144" s="6"/>
      <c r="K144" s="3"/>
      <c r="L144" s="6"/>
      <c r="M144" s="6"/>
      <c r="N144" s="3"/>
      <c r="O144" s="6"/>
      <c r="P144" s="3"/>
      <c r="Q144" s="6"/>
      <c r="R144" s="6"/>
      <c r="S144" s="3"/>
      <c r="T144" s="6"/>
      <c r="U144" s="3"/>
      <c r="V144" s="6"/>
      <c r="W144" s="6"/>
      <c r="X144" s="3"/>
      <c r="Y144" s="6"/>
      <c r="Z144" s="3"/>
      <c r="AA144" s="6"/>
      <c r="AB144" s="6"/>
      <c r="AC144" s="3"/>
    </row>
    <row r="145" spans="1:29" ht="15.75" customHeight="1" x14ac:dyDescent="0.2">
      <c r="A145" s="2"/>
      <c r="B145" s="2"/>
      <c r="C145" s="2"/>
      <c r="D145" s="14"/>
      <c r="E145" s="6"/>
      <c r="F145" s="3"/>
      <c r="G145" s="6"/>
      <c r="H145" s="6"/>
      <c r="I145" s="3"/>
      <c r="J145" s="6"/>
      <c r="K145" s="3"/>
      <c r="L145" s="6"/>
      <c r="M145" s="6"/>
      <c r="N145" s="3"/>
      <c r="O145" s="6"/>
      <c r="P145" s="3"/>
      <c r="Q145" s="6"/>
      <c r="R145" s="6"/>
      <c r="S145" s="3"/>
      <c r="T145" s="6"/>
      <c r="U145" s="3"/>
      <c r="V145" s="6"/>
      <c r="W145" s="6"/>
      <c r="X145" s="3"/>
      <c r="Y145" s="6"/>
      <c r="Z145" s="3"/>
      <c r="AA145" s="6"/>
      <c r="AB145" s="6"/>
      <c r="AC145" s="3"/>
    </row>
    <row r="146" spans="1:29" ht="15.75" customHeight="1" x14ac:dyDescent="0.2">
      <c r="A146" s="2"/>
      <c r="B146" s="2"/>
      <c r="C146" s="2"/>
      <c r="D146" s="14"/>
      <c r="E146" s="6"/>
      <c r="F146" s="3"/>
      <c r="G146" s="6"/>
      <c r="H146" s="6"/>
      <c r="I146" s="3"/>
      <c r="J146" s="6"/>
      <c r="K146" s="3"/>
      <c r="L146" s="6"/>
      <c r="M146" s="6"/>
      <c r="N146" s="3"/>
      <c r="O146" s="6"/>
      <c r="P146" s="3"/>
      <c r="Q146" s="6"/>
      <c r="R146" s="6"/>
      <c r="S146" s="3"/>
      <c r="T146" s="6"/>
      <c r="U146" s="3"/>
      <c r="V146" s="6"/>
      <c r="W146" s="6"/>
      <c r="X146" s="3"/>
      <c r="Y146" s="6"/>
      <c r="Z146" s="3"/>
      <c r="AA146" s="6"/>
      <c r="AB146" s="6"/>
      <c r="AC146" s="3"/>
    </row>
    <row r="147" spans="1:29" ht="15.75" customHeight="1" x14ac:dyDescent="0.2">
      <c r="A147" s="2"/>
      <c r="B147" s="2"/>
      <c r="C147" s="2"/>
      <c r="D147" s="14"/>
      <c r="E147" s="6"/>
      <c r="F147" s="3"/>
      <c r="G147" s="6"/>
      <c r="H147" s="6"/>
      <c r="I147" s="3"/>
      <c r="J147" s="6"/>
      <c r="K147" s="3"/>
      <c r="L147" s="6"/>
      <c r="M147" s="6"/>
      <c r="N147" s="3"/>
      <c r="O147" s="6"/>
      <c r="P147" s="3"/>
      <c r="Q147" s="6"/>
      <c r="R147" s="6"/>
      <c r="S147" s="3"/>
      <c r="T147" s="6"/>
      <c r="U147" s="3"/>
      <c r="V147" s="6"/>
      <c r="W147" s="6"/>
      <c r="X147" s="3"/>
      <c r="Y147" s="6"/>
      <c r="Z147" s="3"/>
      <c r="AA147" s="6"/>
      <c r="AB147" s="6"/>
      <c r="AC147" s="3"/>
    </row>
    <row r="148" spans="1:29" ht="15.75" customHeight="1" x14ac:dyDescent="0.2">
      <c r="A148" s="2"/>
      <c r="B148" s="2"/>
      <c r="C148" s="2"/>
      <c r="D148" s="14"/>
      <c r="E148" s="6"/>
      <c r="F148" s="3"/>
      <c r="G148" s="6"/>
      <c r="H148" s="6"/>
      <c r="I148" s="3"/>
      <c r="J148" s="6"/>
      <c r="K148" s="3"/>
      <c r="L148" s="6"/>
      <c r="M148" s="6"/>
      <c r="N148" s="3"/>
      <c r="O148" s="6"/>
      <c r="P148" s="3"/>
      <c r="Q148" s="6"/>
      <c r="R148" s="6"/>
      <c r="S148" s="3"/>
      <c r="T148" s="6"/>
      <c r="U148" s="3"/>
      <c r="V148" s="6"/>
      <c r="W148" s="6"/>
      <c r="X148" s="3"/>
      <c r="Y148" s="6"/>
      <c r="Z148" s="3"/>
      <c r="AA148" s="6"/>
      <c r="AB148" s="6"/>
      <c r="AC148" s="3"/>
    </row>
    <row r="149" spans="1:29" ht="15.75" customHeight="1" x14ac:dyDescent="0.2">
      <c r="A149" s="2"/>
      <c r="B149" s="2"/>
      <c r="C149" s="2"/>
      <c r="D149" s="14"/>
      <c r="E149" s="6"/>
      <c r="F149" s="3"/>
      <c r="G149" s="6"/>
      <c r="H149" s="6"/>
      <c r="I149" s="3"/>
      <c r="J149" s="6"/>
      <c r="K149" s="3"/>
      <c r="L149" s="6"/>
      <c r="M149" s="6"/>
      <c r="N149" s="3"/>
      <c r="O149" s="6"/>
      <c r="P149" s="3"/>
      <c r="Q149" s="6"/>
      <c r="R149" s="6"/>
      <c r="S149" s="3"/>
      <c r="T149" s="6"/>
      <c r="U149" s="3"/>
      <c r="V149" s="6"/>
      <c r="W149" s="6"/>
      <c r="X149" s="3"/>
      <c r="Y149" s="6"/>
      <c r="Z149" s="3"/>
      <c r="AA149" s="6"/>
      <c r="AB149" s="6"/>
      <c r="AC149" s="3"/>
    </row>
    <row r="150" spans="1:29" ht="15.75" customHeight="1" x14ac:dyDescent="0.2">
      <c r="A150" s="2"/>
      <c r="B150" s="2"/>
      <c r="C150" s="2"/>
      <c r="D150" s="14"/>
      <c r="E150" s="6"/>
      <c r="F150" s="3"/>
      <c r="G150" s="6"/>
      <c r="H150" s="6"/>
      <c r="I150" s="3"/>
      <c r="J150" s="6"/>
      <c r="K150" s="3"/>
      <c r="L150" s="6"/>
      <c r="M150" s="6"/>
      <c r="N150" s="3"/>
      <c r="O150" s="6"/>
      <c r="P150" s="3"/>
      <c r="Q150" s="6"/>
      <c r="R150" s="6"/>
      <c r="S150" s="3"/>
      <c r="T150" s="6"/>
      <c r="U150" s="3"/>
      <c r="V150" s="6"/>
      <c r="W150" s="6"/>
      <c r="X150" s="3"/>
      <c r="Y150" s="6"/>
      <c r="Z150" s="3"/>
      <c r="AA150" s="6"/>
      <c r="AB150" s="6"/>
      <c r="AC150" s="3"/>
    </row>
    <row r="151" spans="1:29" ht="15.75" customHeight="1" x14ac:dyDescent="0.2">
      <c r="A151" s="2"/>
      <c r="B151" s="2"/>
      <c r="C151" s="2"/>
      <c r="D151" s="14"/>
      <c r="E151" s="6"/>
      <c r="F151" s="3"/>
      <c r="G151" s="6"/>
      <c r="H151" s="6"/>
      <c r="I151" s="3"/>
      <c r="J151" s="6"/>
      <c r="K151" s="3"/>
      <c r="L151" s="6"/>
      <c r="M151" s="6"/>
      <c r="N151" s="3"/>
      <c r="O151" s="6"/>
      <c r="P151" s="3"/>
      <c r="Q151" s="6"/>
      <c r="R151" s="6"/>
      <c r="S151" s="3"/>
      <c r="T151" s="6"/>
      <c r="U151" s="3"/>
      <c r="V151" s="6"/>
      <c r="W151" s="6"/>
      <c r="X151" s="3"/>
      <c r="Y151" s="6"/>
      <c r="Z151" s="3"/>
      <c r="AA151" s="6"/>
      <c r="AB151" s="6"/>
      <c r="AC151" s="3"/>
    </row>
    <row r="152" spans="1:29" ht="15.75" customHeight="1" x14ac:dyDescent="0.2">
      <c r="A152" s="2"/>
      <c r="B152" s="2"/>
      <c r="C152" s="2"/>
      <c r="D152" s="14"/>
      <c r="E152" s="6"/>
      <c r="F152" s="3"/>
      <c r="G152" s="6"/>
      <c r="H152" s="6"/>
      <c r="I152" s="3"/>
      <c r="J152" s="6"/>
      <c r="K152" s="3"/>
      <c r="L152" s="6"/>
      <c r="M152" s="6"/>
      <c r="N152" s="3"/>
      <c r="O152" s="6"/>
      <c r="P152" s="3"/>
      <c r="Q152" s="6"/>
      <c r="R152" s="6"/>
      <c r="S152" s="3"/>
      <c r="T152" s="6"/>
      <c r="U152" s="3"/>
      <c r="V152" s="6"/>
      <c r="W152" s="6"/>
      <c r="X152" s="3"/>
      <c r="Y152" s="6"/>
      <c r="Z152" s="3"/>
      <c r="AA152" s="6"/>
      <c r="AB152" s="6"/>
      <c r="AC152" s="3"/>
    </row>
    <row r="153" spans="1:29" ht="15.75" customHeight="1" x14ac:dyDescent="0.2">
      <c r="A153" s="2"/>
      <c r="B153" s="2"/>
      <c r="C153" s="2"/>
      <c r="D153" s="14"/>
      <c r="E153" s="6"/>
      <c r="F153" s="3"/>
      <c r="G153" s="6"/>
      <c r="H153" s="6"/>
      <c r="I153" s="3"/>
      <c r="J153" s="6"/>
      <c r="K153" s="3"/>
      <c r="L153" s="6"/>
      <c r="M153" s="6"/>
      <c r="N153" s="3"/>
      <c r="O153" s="6"/>
      <c r="P153" s="3"/>
      <c r="Q153" s="6"/>
      <c r="R153" s="6"/>
      <c r="S153" s="3"/>
      <c r="T153" s="6"/>
      <c r="U153" s="3"/>
      <c r="V153" s="6"/>
      <c r="W153" s="6"/>
      <c r="X153" s="3"/>
      <c r="Y153" s="6"/>
      <c r="Z153" s="3"/>
      <c r="AA153" s="6"/>
      <c r="AB153" s="6"/>
      <c r="AC153" s="3"/>
    </row>
    <row r="154" spans="1:29" ht="15.75" customHeight="1" x14ac:dyDescent="0.2">
      <c r="A154" s="2"/>
      <c r="B154" s="2"/>
      <c r="C154" s="2"/>
      <c r="D154" s="14"/>
      <c r="E154" s="6"/>
      <c r="F154" s="3"/>
      <c r="G154" s="6"/>
      <c r="H154" s="6"/>
      <c r="I154" s="3"/>
      <c r="J154" s="6"/>
      <c r="K154" s="3"/>
      <c r="L154" s="6"/>
      <c r="M154" s="6"/>
      <c r="N154" s="3"/>
      <c r="O154" s="6"/>
      <c r="P154" s="3"/>
      <c r="Q154" s="6"/>
      <c r="R154" s="6"/>
      <c r="S154" s="3"/>
      <c r="T154" s="6"/>
      <c r="U154" s="3"/>
      <c r="V154" s="6"/>
      <c r="W154" s="6"/>
      <c r="X154" s="3"/>
      <c r="Y154" s="6"/>
      <c r="Z154" s="3"/>
      <c r="AA154" s="6"/>
      <c r="AB154" s="6"/>
      <c r="AC154" s="3"/>
    </row>
    <row r="155" spans="1:29" ht="15.75" customHeight="1" x14ac:dyDescent="0.2">
      <c r="A155" s="2"/>
      <c r="B155" s="2"/>
      <c r="C155" s="2"/>
      <c r="D155" s="14"/>
      <c r="E155" s="6"/>
      <c r="F155" s="3"/>
      <c r="G155" s="6"/>
      <c r="H155" s="6"/>
      <c r="I155" s="3"/>
      <c r="J155" s="6"/>
      <c r="K155" s="3"/>
      <c r="L155" s="6"/>
      <c r="M155" s="6"/>
      <c r="N155" s="3"/>
      <c r="O155" s="6"/>
      <c r="P155" s="3"/>
      <c r="Q155" s="6"/>
      <c r="R155" s="6"/>
      <c r="S155" s="3"/>
      <c r="T155" s="6"/>
      <c r="U155" s="3"/>
      <c r="V155" s="6"/>
      <c r="W155" s="6"/>
      <c r="X155" s="3"/>
      <c r="Y155" s="6"/>
      <c r="Z155" s="3"/>
      <c r="AA155" s="6"/>
      <c r="AB155" s="6"/>
      <c r="AC155" s="3"/>
    </row>
    <row r="156" spans="1:29" ht="15.75" customHeight="1" x14ac:dyDescent="0.2">
      <c r="A156" s="2"/>
      <c r="B156" s="2"/>
      <c r="C156" s="2"/>
      <c r="D156" s="14"/>
      <c r="E156" s="6"/>
      <c r="F156" s="3"/>
      <c r="G156" s="6"/>
      <c r="H156" s="6"/>
      <c r="I156" s="3"/>
      <c r="J156" s="6"/>
      <c r="K156" s="3"/>
      <c r="L156" s="6"/>
      <c r="M156" s="6"/>
      <c r="N156" s="3"/>
      <c r="O156" s="6"/>
      <c r="P156" s="3"/>
      <c r="Q156" s="6"/>
      <c r="R156" s="6"/>
      <c r="S156" s="3"/>
      <c r="T156" s="6"/>
      <c r="U156" s="3"/>
      <c r="V156" s="6"/>
      <c r="W156" s="6"/>
      <c r="X156" s="3"/>
      <c r="Y156" s="6"/>
      <c r="Z156" s="3"/>
      <c r="AA156" s="6"/>
      <c r="AB156" s="6"/>
      <c r="AC156" s="3"/>
    </row>
    <row r="157" spans="1:29" ht="15.75" customHeight="1" x14ac:dyDescent="0.2">
      <c r="A157" s="2"/>
      <c r="B157" s="2"/>
      <c r="C157" s="2"/>
      <c r="D157" s="14"/>
      <c r="E157" s="6"/>
      <c r="F157" s="3"/>
      <c r="G157" s="6"/>
      <c r="H157" s="6"/>
      <c r="I157" s="3"/>
      <c r="J157" s="6"/>
      <c r="K157" s="3"/>
      <c r="L157" s="6"/>
      <c r="M157" s="6"/>
      <c r="N157" s="3"/>
      <c r="O157" s="6"/>
      <c r="P157" s="3"/>
      <c r="Q157" s="6"/>
      <c r="R157" s="6"/>
      <c r="S157" s="3"/>
      <c r="T157" s="6"/>
      <c r="U157" s="3"/>
      <c r="V157" s="6"/>
      <c r="W157" s="6"/>
      <c r="X157" s="3"/>
      <c r="Y157" s="6"/>
      <c r="Z157" s="3"/>
      <c r="AA157" s="6"/>
      <c r="AB157" s="6"/>
      <c r="AC157" s="3"/>
    </row>
    <row r="158" spans="1:29" ht="15.75" customHeight="1" x14ac:dyDescent="0.2">
      <c r="A158" s="2"/>
      <c r="B158" s="2"/>
      <c r="C158" s="2"/>
      <c r="D158" s="14"/>
      <c r="E158" s="6"/>
      <c r="F158" s="3"/>
      <c r="G158" s="6"/>
      <c r="H158" s="6"/>
      <c r="I158" s="3"/>
      <c r="J158" s="6"/>
      <c r="K158" s="3"/>
      <c r="L158" s="6"/>
      <c r="M158" s="6"/>
      <c r="N158" s="3"/>
      <c r="O158" s="6"/>
      <c r="P158" s="3"/>
      <c r="Q158" s="6"/>
      <c r="R158" s="6"/>
      <c r="S158" s="3"/>
      <c r="T158" s="6"/>
      <c r="U158" s="3"/>
      <c r="V158" s="6"/>
      <c r="W158" s="6"/>
      <c r="X158" s="3"/>
      <c r="Y158" s="6"/>
      <c r="Z158" s="3"/>
      <c r="AA158" s="6"/>
      <c r="AB158" s="6"/>
      <c r="AC158" s="3"/>
    </row>
    <row r="159" spans="1:29" ht="15.75" customHeight="1" x14ac:dyDescent="0.2">
      <c r="A159" s="2"/>
      <c r="B159" s="2"/>
      <c r="C159" s="2"/>
      <c r="D159" s="14"/>
      <c r="E159" s="6"/>
      <c r="F159" s="3"/>
      <c r="G159" s="6"/>
      <c r="H159" s="6"/>
      <c r="I159" s="3"/>
      <c r="J159" s="6"/>
      <c r="K159" s="3"/>
      <c r="L159" s="6"/>
      <c r="M159" s="6"/>
      <c r="N159" s="3"/>
      <c r="O159" s="6"/>
      <c r="P159" s="3"/>
      <c r="Q159" s="6"/>
      <c r="R159" s="6"/>
      <c r="S159" s="3"/>
      <c r="T159" s="6"/>
      <c r="U159" s="3"/>
      <c r="V159" s="6"/>
      <c r="W159" s="6"/>
      <c r="X159" s="3"/>
      <c r="Y159" s="6"/>
      <c r="Z159" s="3"/>
      <c r="AA159" s="6"/>
      <c r="AB159" s="6"/>
      <c r="AC159" s="3"/>
    </row>
    <row r="160" spans="1:29" ht="15.75" customHeight="1" x14ac:dyDescent="0.2">
      <c r="A160" s="2"/>
      <c r="B160" s="2"/>
      <c r="C160" s="2"/>
      <c r="D160" s="14"/>
      <c r="E160" s="6"/>
      <c r="F160" s="3"/>
      <c r="G160" s="6"/>
      <c r="H160" s="6"/>
      <c r="I160" s="3"/>
      <c r="J160" s="6"/>
      <c r="K160" s="3"/>
      <c r="L160" s="6"/>
      <c r="M160" s="6"/>
      <c r="N160" s="3"/>
      <c r="O160" s="6"/>
      <c r="P160" s="3"/>
      <c r="Q160" s="6"/>
      <c r="R160" s="6"/>
      <c r="S160" s="3"/>
      <c r="T160" s="6"/>
      <c r="U160" s="3"/>
      <c r="V160" s="6"/>
      <c r="W160" s="6"/>
      <c r="X160" s="3"/>
      <c r="Y160" s="6"/>
      <c r="Z160" s="3"/>
      <c r="AA160" s="6"/>
      <c r="AB160" s="6"/>
      <c r="AC160" s="3"/>
    </row>
    <row r="161" spans="1:29" ht="15.75" customHeight="1" x14ac:dyDescent="0.2">
      <c r="A161" s="2"/>
      <c r="B161" s="2"/>
      <c r="C161" s="2"/>
      <c r="D161" s="14"/>
      <c r="E161" s="6"/>
      <c r="F161" s="3"/>
      <c r="G161" s="6"/>
      <c r="H161" s="6"/>
      <c r="I161" s="3"/>
      <c r="J161" s="6"/>
      <c r="K161" s="3"/>
      <c r="L161" s="6"/>
      <c r="M161" s="6"/>
      <c r="N161" s="3"/>
      <c r="O161" s="6"/>
      <c r="P161" s="3"/>
      <c r="Q161" s="6"/>
      <c r="R161" s="6"/>
      <c r="S161" s="3"/>
      <c r="T161" s="6"/>
      <c r="U161" s="3"/>
      <c r="V161" s="6"/>
      <c r="W161" s="6"/>
      <c r="X161" s="3"/>
      <c r="Y161" s="6"/>
      <c r="Z161" s="3"/>
      <c r="AA161" s="6"/>
      <c r="AB161" s="6"/>
      <c r="AC161" s="3"/>
    </row>
    <row r="162" spans="1:29" ht="15.75" customHeight="1" x14ac:dyDescent="0.2">
      <c r="A162" s="2"/>
      <c r="B162" s="2"/>
      <c r="C162" s="2"/>
      <c r="D162" s="14"/>
      <c r="E162" s="6"/>
      <c r="F162" s="3"/>
      <c r="G162" s="6"/>
      <c r="H162" s="6"/>
      <c r="I162" s="3"/>
      <c r="J162" s="6"/>
      <c r="K162" s="3"/>
      <c r="L162" s="6"/>
      <c r="M162" s="6"/>
      <c r="N162" s="3"/>
      <c r="O162" s="6"/>
      <c r="P162" s="3"/>
      <c r="Q162" s="6"/>
      <c r="R162" s="6"/>
      <c r="S162" s="3"/>
      <c r="T162" s="6"/>
      <c r="U162" s="3"/>
      <c r="V162" s="6"/>
      <c r="W162" s="6"/>
      <c r="X162" s="3"/>
      <c r="Y162" s="6"/>
      <c r="Z162" s="3"/>
      <c r="AA162" s="6"/>
      <c r="AB162" s="6"/>
      <c r="AC162" s="3"/>
    </row>
    <row r="163" spans="1:29" ht="15.75" customHeight="1" x14ac:dyDescent="0.2">
      <c r="A163" s="2"/>
      <c r="B163" s="2"/>
      <c r="C163" s="2"/>
      <c r="D163" s="14"/>
      <c r="E163" s="6"/>
      <c r="F163" s="3"/>
      <c r="G163" s="6"/>
      <c r="H163" s="6"/>
      <c r="I163" s="3"/>
      <c r="J163" s="6"/>
      <c r="K163" s="3"/>
      <c r="L163" s="6"/>
      <c r="M163" s="6"/>
      <c r="N163" s="3"/>
      <c r="O163" s="6"/>
      <c r="P163" s="3"/>
      <c r="Q163" s="6"/>
      <c r="R163" s="6"/>
      <c r="S163" s="3"/>
      <c r="T163" s="6"/>
      <c r="U163" s="3"/>
      <c r="V163" s="6"/>
      <c r="W163" s="6"/>
      <c r="X163" s="3"/>
      <c r="Y163" s="6"/>
      <c r="Z163" s="3"/>
      <c r="AA163" s="6"/>
      <c r="AB163" s="6"/>
      <c r="AC163" s="3"/>
    </row>
    <row r="164" spans="1:29" ht="15.75" customHeight="1" x14ac:dyDescent="0.2">
      <c r="A164" s="2"/>
      <c r="B164" s="2"/>
      <c r="C164" s="2"/>
      <c r="D164" s="14"/>
      <c r="E164" s="6"/>
      <c r="F164" s="3"/>
      <c r="G164" s="6"/>
      <c r="H164" s="6"/>
      <c r="I164" s="3"/>
      <c r="J164" s="6"/>
      <c r="K164" s="3"/>
      <c r="L164" s="6"/>
      <c r="M164" s="6"/>
      <c r="N164" s="3"/>
      <c r="O164" s="6"/>
      <c r="P164" s="3"/>
      <c r="Q164" s="6"/>
      <c r="R164" s="6"/>
      <c r="S164" s="3"/>
      <c r="T164" s="6"/>
      <c r="U164" s="3"/>
      <c r="V164" s="6"/>
      <c r="W164" s="6"/>
      <c r="X164" s="3"/>
      <c r="Y164" s="6"/>
      <c r="Z164" s="3"/>
      <c r="AA164" s="6"/>
      <c r="AB164" s="6"/>
      <c r="AC164" s="3"/>
    </row>
    <row r="165" spans="1:29" ht="15.75" customHeight="1" x14ac:dyDescent="0.2">
      <c r="A165" s="2"/>
      <c r="B165" s="2"/>
      <c r="C165" s="2"/>
      <c r="D165" s="14"/>
      <c r="E165" s="6"/>
      <c r="F165" s="3"/>
      <c r="G165" s="6"/>
      <c r="H165" s="6"/>
      <c r="I165" s="3"/>
      <c r="J165" s="6"/>
      <c r="K165" s="3"/>
      <c r="L165" s="6"/>
      <c r="M165" s="6"/>
      <c r="N165" s="3"/>
      <c r="O165" s="6"/>
      <c r="P165" s="3"/>
      <c r="Q165" s="6"/>
      <c r="R165" s="6"/>
      <c r="S165" s="3"/>
      <c r="T165" s="6"/>
      <c r="U165" s="3"/>
      <c r="V165" s="6"/>
      <c r="W165" s="6"/>
      <c r="X165" s="3"/>
      <c r="Y165" s="6"/>
      <c r="Z165" s="3"/>
      <c r="AA165" s="6"/>
      <c r="AB165" s="6"/>
      <c r="AC165" s="3"/>
    </row>
    <row r="166" spans="1:29" ht="15.75" customHeight="1" x14ac:dyDescent="0.2">
      <c r="A166" s="2"/>
      <c r="B166" s="2"/>
      <c r="C166" s="2"/>
      <c r="D166" s="14"/>
      <c r="E166" s="6"/>
      <c r="F166" s="3"/>
      <c r="G166" s="6"/>
      <c r="H166" s="6"/>
      <c r="I166" s="3"/>
      <c r="J166" s="6"/>
      <c r="K166" s="3"/>
      <c r="L166" s="6"/>
      <c r="M166" s="6"/>
      <c r="N166" s="3"/>
      <c r="O166" s="6"/>
      <c r="P166" s="3"/>
      <c r="Q166" s="6"/>
      <c r="R166" s="6"/>
      <c r="S166" s="3"/>
      <c r="T166" s="6"/>
      <c r="U166" s="3"/>
      <c r="V166" s="6"/>
      <c r="W166" s="6"/>
      <c r="X166" s="3"/>
      <c r="Y166" s="6"/>
      <c r="Z166" s="3"/>
      <c r="AA166" s="6"/>
      <c r="AB166" s="6"/>
      <c r="AC166" s="3"/>
    </row>
    <row r="167" spans="1:29" ht="15.75" customHeight="1" x14ac:dyDescent="0.2">
      <c r="A167" s="2"/>
      <c r="B167" s="2"/>
      <c r="C167" s="2"/>
      <c r="D167" s="14"/>
      <c r="E167" s="6"/>
      <c r="F167" s="3"/>
      <c r="G167" s="6"/>
      <c r="H167" s="6"/>
      <c r="I167" s="3"/>
      <c r="J167" s="6"/>
      <c r="K167" s="3"/>
      <c r="L167" s="6"/>
      <c r="M167" s="6"/>
      <c r="N167" s="3"/>
      <c r="O167" s="6"/>
      <c r="P167" s="3"/>
      <c r="Q167" s="6"/>
      <c r="R167" s="6"/>
      <c r="S167" s="3"/>
      <c r="T167" s="6"/>
      <c r="U167" s="3"/>
      <c r="V167" s="6"/>
      <c r="W167" s="6"/>
      <c r="X167" s="3"/>
      <c r="Y167" s="6"/>
      <c r="Z167" s="3"/>
      <c r="AA167" s="6"/>
      <c r="AB167" s="6"/>
      <c r="AC167" s="3"/>
    </row>
    <row r="168" spans="1:29" ht="15.75" customHeight="1" x14ac:dyDescent="0.2">
      <c r="A168" s="2"/>
      <c r="B168" s="2"/>
      <c r="C168" s="2"/>
      <c r="D168" s="14"/>
      <c r="E168" s="6"/>
      <c r="F168" s="3"/>
      <c r="G168" s="6"/>
      <c r="H168" s="6"/>
      <c r="I168" s="3"/>
      <c r="J168" s="6"/>
      <c r="K168" s="3"/>
      <c r="L168" s="6"/>
      <c r="M168" s="6"/>
      <c r="N168" s="3"/>
      <c r="O168" s="6"/>
      <c r="P168" s="3"/>
      <c r="Q168" s="6"/>
      <c r="R168" s="6"/>
      <c r="S168" s="3"/>
      <c r="T168" s="6"/>
      <c r="U168" s="3"/>
      <c r="V168" s="6"/>
      <c r="W168" s="6"/>
      <c r="X168" s="3"/>
      <c r="Y168" s="6"/>
      <c r="Z168" s="3"/>
      <c r="AA168" s="6"/>
      <c r="AB168" s="6"/>
      <c r="AC168" s="3"/>
    </row>
    <row r="169" spans="1:29" ht="15.75" customHeight="1" x14ac:dyDescent="0.2">
      <c r="A169" s="2"/>
      <c r="B169" s="2"/>
      <c r="C169" s="2"/>
      <c r="D169" s="14"/>
      <c r="E169" s="6"/>
      <c r="F169" s="3"/>
      <c r="G169" s="6"/>
      <c r="H169" s="6"/>
      <c r="I169" s="3"/>
      <c r="J169" s="6"/>
      <c r="K169" s="3"/>
      <c r="L169" s="6"/>
      <c r="M169" s="6"/>
      <c r="N169" s="3"/>
      <c r="O169" s="6"/>
      <c r="P169" s="3"/>
      <c r="Q169" s="6"/>
      <c r="R169" s="6"/>
      <c r="S169" s="3"/>
      <c r="T169" s="6"/>
      <c r="U169" s="3"/>
      <c r="V169" s="6"/>
      <c r="W169" s="6"/>
      <c r="X169" s="3"/>
      <c r="Y169" s="6"/>
      <c r="Z169" s="3"/>
      <c r="AA169" s="6"/>
      <c r="AB169" s="6"/>
      <c r="AC169" s="3"/>
    </row>
    <row r="170" spans="1:29" ht="15.75" customHeight="1" x14ac:dyDescent="0.2">
      <c r="A170" s="2"/>
      <c r="B170" s="2"/>
      <c r="C170" s="2"/>
      <c r="D170" s="14"/>
      <c r="E170" s="6"/>
      <c r="F170" s="3"/>
      <c r="G170" s="6"/>
      <c r="H170" s="6"/>
      <c r="I170" s="3"/>
      <c r="J170" s="6"/>
      <c r="K170" s="3"/>
      <c r="L170" s="6"/>
      <c r="M170" s="6"/>
      <c r="N170" s="3"/>
      <c r="O170" s="6"/>
      <c r="P170" s="3"/>
      <c r="Q170" s="6"/>
      <c r="R170" s="6"/>
      <c r="S170" s="3"/>
      <c r="T170" s="6"/>
      <c r="U170" s="3"/>
      <c r="V170" s="6"/>
      <c r="W170" s="6"/>
      <c r="X170" s="3"/>
      <c r="Y170" s="6"/>
      <c r="Z170" s="3"/>
      <c r="AA170" s="6"/>
      <c r="AB170" s="6"/>
      <c r="AC170" s="3"/>
    </row>
    <row r="171" spans="1:29" ht="15.75" customHeight="1" x14ac:dyDescent="0.2">
      <c r="A171" s="2"/>
      <c r="B171" s="2"/>
      <c r="C171" s="2"/>
      <c r="D171" s="14"/>
      <c r="E171" s="6"/>
      <c r="F171" s="3"/>
      <c r="G171" s="6"/>
      <c r="H171" s="6"/>
      <c r="I171" s="3"/>
      <c r="J171" s="6"/>
      <c r="K171" s="3"/>
      <c r="L171" s="6"/>
      <c r="M171" s="6"/>
      <c r="N171" s="3"/>
      <c r="O171" s="6"/>
      <c r="P171" s="3"/>
      <c r="Q171" s="6"/>
      <c r="R171" s="6"/>
      <c r="S171" s="3"/>
      <c r="T171" s="6"/>
      <c r="U171" s="3"/>
      <c r="V171" s="6"/>
      <c r="W171" s="6"/>
      <c r="X171" s="3"/>
      <c r="Y171" s="6"/>
      <c r="Z171" s="3"/>
      <c r="AA171" s="6"/>
      <c r="AB171" s="6"/>
      <c r="AC171" s="3"/>
    </row>
    <row r="172" spans="1:29" ht="15.75" customHeight="1" x14ac:dyDescent="0.2">
      <c r="A172" s="2"/>
      <c r="B172" s="2"/>
      <c r="C172" s="2"/>
      <c r="D172" s="14"/>
      <c r="E172" s="6"/>
      <c r="F172" s="3"/>
      <c r="G172" s="6"/>
      <c r="H172" s="6"/>
      <c r="I172" s="3"/>
      <c r="J172" s="6"/>
      <c r="K172" s="3"/>
      <c r="L172" s="6"/>
      <c r="M172" s="6"/>
      <c r="N172" s="3"/>
      <c r="O172" s="6"/>
      <c r="P172" s="3"/>
      <c r="Q172" s="6"/>
      <c r="R172" s="6"/>
      <c r="S172" s="3"/>
      <c r="T172" s="6"/>
      <c r="U172" s="3"/>
      <c r="V172" s="6"/>
      <c r="W172" s="6"/>
      <c r="X172" s="3"/>
      <c r="Y172" s="6"/>
      <c r="Z172" s="3"/>
      <c r="AA172" s="6"/>
      <c r="AB172" s="6"/>
      <c r="AC172" s="3"/>
    </row>
    <row r="173" spans="1:29" ht="15.75" customHeight="1" x14ac:dyDescent="0.2">
      <c r="A173" s="2"/>
      <c r="B173" s="2"/>
      <c r="C173" s="2"/>
      <c r="D173" s="14"/>
      <c r="E173" s="6"/>
      <c r="F173" s="3"/>
      <c r="G173" s="6"/>
      <c r="H173" s="6"/>
      <c r="I173" s="3"/>
      <c r="J173" s="6"/>
      <c r="K173" s="3"/>
      <c r="L173" s="6"/>
      <c r="M173" s="6"/>
      <c r="N173" s="3"/>
      <c r="O173" s="6"/>
      <c r="P173" s="3"/>
      <c r="Q173" s="6"/>
      <c r="R173" s="6"/>
      <c r="S173" s="3"/>
      <c r="T173" s="6"/>
      <c r="U173" s="3"/>
      <c r="V173" s="6"/>
      <c r="W173" s="6"/>
      <c r="X173" s="3"/>
      <c r="Y173" s="6"/>
      <c r="Z173" s="3"/>
      <c r="AA173" s="6"/>
      <c r="AB173" s="6"/>
      <c r="AC173" s="3"/>
    </row>
    <row r="174" spans="1:29" ht="15.75" customHeight="1" x14ac:dyDescent="0.2">
      <c r="A174" s="2"/>
      <c r="B174" s="2"/>
      <c r="C174" s="2"/>
      <c r="D174" s="14"/>
      <c r="E174" s="6"/>
      <c r="F174" s="3"/>
      <c r="G174" s="6"/>
      <c r="H174" s="6"/>
      <c r="I174" s="3"/>
      <c r="J174" s="6"/>
      <c r="K174" s="3"/>
      <c r="L174" s="6"/>
      <c r="M174" s="6"/>
      <c r="N174" s="3"/>
      <c r="O174" s="6"/>
      <c r="P174" s="3"/>
      <c r="Q174" s="6"/>
      <c r="R174" s="6"/>
      <c r="S174" s="3"/>
      <c r="T174" s="6"/>
      <c r="U174" s="3"/>
      <c r="V174" s="6"/>
      <c r="W174" s="6"/>
      <c r="X174" s="3"/>
      <c r="Y174" s="6"/>
      <c r="Z174" s="3"/>
      <c r="AA174" s="6"/>
      <c r="AB174" s="6"/>
      <c r="AC174" s="3"/>
    </row>
    <row r="175" spans="1:29" ht="15.75" customHeight="1" x14ac:dyDescent="0.2">
      <c r="A175" s="2"/>
      <c r="B175" s="2"/>
      <c r="C175" s="2"/>
      <c r="D175" s="14"/>
      <c r="E175" s="6"/>
      <c r="F175" s="3"/>
      <c r="G175" s="6"/>
      <c r="H175" s="6"/>
      <c r="I175" s="3"/>
      <c r="J175" s="6"/>
      <c r="K175" s="3"/>
      <c r="L175" s="6"/>
      <c r="M175" s="6"/>
      <c r="N175" s="3"/>
      <c r="O175" s="6"/>
      <c r="P175" s="3"/>
      <c r="Q175" s="6"/>
      <c r="R175" s="6"/>
      <c r="S175" s="3"/>
      <c r="T175" s="6"/>
      <c r="U175" s="3"/>
      <c r="V175" s="6"/>
      <c r="W175" s="6"/>
      <c r="X175" s="3"/>
      <c r="Y175" s="6"/>
      <c r="Z175" s="3"/>
      <c r="AA175" s="6"/>
      <c r="AB175" s="6"/>
      <c r="AC175" s="3"/>
    </row>
    <row r="176" spans="1:29" ht="15.75" customHeight="1" x14ac:dyDescent="0.2">
      <c r="A176" s="2"/>
      <c r="B176" s="2"/>
      <c r="C176" s="2"/>
      <c r="D176" s="14"/>
      <c r="E176" s="6"/>
      <c r="F176" s="3"/>
      <c r="G176" s="6"/>
      <c r="H176" s="6"/>
      <c r="I176" s="3"/>
      <c r="J176" s="6"/>
      <c r="K176" s="3"/>
      <c r="L176" s="6"/>
      <c r="M176" s="6"/>
      <c r="N176" s="3"/>
      <c r="O176" s="6"/>
      <c r="P176" s="3"/>
      <c r="Q176" s="6"/>
      <c r="R176" s="6"/>
      <c r="S176" s="3"/>
      <c r="T176" s="6"/>
      <c r="U176" s="3"/>
      <c r="V176" s="6"/>
      <c r="W176" s="6"/>
      <c r="X176" s="3"/>
      <c r="Y176" s="6"/>
      <c r="Z176" s="3"/>
      <c r="AA176" s="6"/>
      <c r="AB176" s="6"/>
      <c r="AC176" s="3"/>
    </row>
    <row r="177" spans="1:29" ht="15.75" customHeight="1" x14ac:dyDescent="0.2">
      <c r="A177" s="2"/>
      <c r="B177" s="2"/>
      <c r="C177" s="2"/>
      <c r="D177" s="14"/>
      <c r="E177" s="6"/>
      <c r="F177" s="3"/>
      <c r="G177" s="6"/>
      <c r="H177" s="6"/>
      <c r="I177" s="3"/>
      <c r="J177" s="6"/>
      <c r="K177" s="3"/>
      <c r="L177" s="6"/>
      <c r="M177" s="6"/>
      <c r="N177" s="3"/>
      <c r="O177" s="6"/>
      <c r="P177" s="3"/>
      <c r="Q177" s="6"/>
      <c r="R177" s="6"/>
      <c r="S177" s="3"/>
      <c r="T177" s="6"/>
      <c r="U177" s="3"/>
      <c r="V177" s="6"/>
      <c r="W177" s="6"/>
      <c r="X177" s="3"/>
      <c r="Y177" s="6"/>
      <c r="Z177" s="3"/>
      <c r="AA177" s="6"/>
      <c r="AB177" s="6"/>
      <c r="AC177" s="3"/>
    </row>
    <row r="178" spans="1:29" ht="15.75" customHeight="1" x14ac:dyDescent="0.2">
      <c r="A178" s="2"/>
      <c r="B178" s="2"/>
      <c r="C178" s="2"/>
      <c r="D178" s="14"/>
      <c r="E178" s="6"/>
      <c r="F178" s="3"/>
      <c r="G178" s="6"/>
      <c r="H178" s="6"/>
      <c r="I178" s="3"/>
      <c r="J178" s="6"/>
      <c r="K178" s="3"/>
      <c r="L178" s="6"/>
      <c r="M178" s="6"/>
      <c r="N178" s="3"/>
      <c r="O178" s="6"/>
      <c r="P178" s="3"/>
      <c r="Q178" s="6"/>
      <c r="R178" s="6"/>
      <c r="S178" s="3"/>
      <c r="T178" s="6"/>
      <c r="U178" s="3"/>
      <c r="V178" s="6"/>
      <c r="W178" s="6"/>
      <c r="X178" s="3"/>
      <c r="Y178" s="6"/>
      <c r="Z178" s="3"/>
      <c r="AA178" s="6"/>
      <c r="AB178" s="6"/>
      <c r="AC178" s="3"/>
    </row>
    <row r="179" spans="1:29" ht="15.75" customHeight="1" x14ac:dyDescent="0.2">
      <c r="A179" s="2"/>
      <c r="B179" s="2"/>
      <c r="C179" s="2"/>
      <c r="D179" s="14"/>
      <c r="E179" s="6"/>
      <c r="F179" s="3"/>
      <c r="G179" s="6"/>
      <c r="H179" s="6"/>
      <c r="I179" s="3"/>
      <c r="J179" s="6"/>
      <c r="K179" s="3"/>
      <c r="L179" s="6"/>
      <c r="M179" s="6"/>
      <c r="N179" s="3"/>
      <c r="O179" s="6"/>
      <c r="P179" s="3"/>
      <c r="Q179" s="6"/>
      <c r="R179" s="6"/>
      <c r="S179" s="3"/>
      <c r="T179" s="6"/>
      <c r="U179" s="3"/>
      <c r="V179" s="6"/>
      <c r="W179" s="6"/>
      <c r="X179" s="3"/>
      <c r="Y179" s="6"/>
      <c r="Z179" s="3"/>
      <c r="AA179" s="6"/>
      <c r="AB179" s="6"/>
      <c r="AC179" s="3"/>
    </row>
    <row r="180" spans="1:29" ht="15.75" customHeight="1" x14ac:dyDescent="0.2">
      <c r="A180" s="2"/>
      <c r="B180" s="2"/>
      <c r="C180" s="2"/>
      <c r="D180" s="14"/>
      <c r="E180" s="6"/>
      <c r="F180" s="3"/>
      <c r="G180" s="6"/>
      <c r="H180" s="6"/>
      <c r="I180" s="3"/>
      <c r="J180" s="6"/>
      <c r="K180" s="3"/>
      <c r="L180" s="6"/>
      <c r="M180" s="6"/>
      <c r="N180" s="3"/>
      <c r="O180" s="6"/>
      <c r="P180" s="3"/>
      <c r="Q180" s="6"/>
      <c r="R180" s="6"/>
      <c r="S180" s="3"/>
      <c r="T180" s="6"/>
      <c r="U180" s="3"/>
      <c r="V180" s="6"/>
      <c r="W180" s="6"/>
      <c r="X180" s="3"/>
      <c r="Y180" s="6"/>
      <c r="Z180" s="3"/>
      <c r="AA180" s="6"/>
      <c r="AB180" s="6"/>
      <c r="AC180" s="3"/>
    </row>
    <row r="181" spans="1:29" ht="15.75" customHeight="1" x14ac:dyDescent="0.2">
      <c r="A181" s="2"/>
      <c r="B181" s="2"/>
      <c r="C181" s="2"/>
      <c r="D181" s="14"/>
      <c r="E181" s="6"/>
      <c r="F181" s="3"/>
      <c r="G181" s="6"/>
      <c r="H181" s="6"/>
      <c r="I181" s="3"/>
      <c r="J181" s="6"/>
      <c r="K181" s="3"/>
      <c r="L181" s="6"/>
      <c r="M181" s="6"/>
      <c r="N181" s="3"/>
      <c r="O181" s="6"/>
      <c r="P181" s="3"/>
      <c r="Q181" s="6"/>
      <c r="R181" s="6"/>
      <c r="S181" s="3"/>
      <c r="T181" s="6"/>
      <c r="U181" s="3"/>
      <c r="V181" s="6"/>
      <c r="W181" s="6"/>
      <c r="X181" s="3"/>
      <c r="Y181" s="6"/>
      <c r="Z181" s="3"/>
      <c r="AA181" s="6"/>
      <c r="AB181" s="6"/>
      <c r="AC181" s="3"/>
    </row>
    <row r="182" spans="1:29" ht="15.75" customHeight="1" x14ac:dyDescent="0.2">
      <c r="A182" s="2"/>
      <c r="B182" s="2"/>
      <c r="C182" s="2"/>
      <c r="D182" s="14"/>
      <c r="E182" s="6"/>
      <c r="F182" s="3"/>
      <c r="G182" s="6"/>
      <c r="H182" s="6"/>
      <c r="I182" s="3"/>
      <c r="J182" s="6"/>
      <c r="K182" s="3"/>
      <c r="L182" s="6"/>
      <c r="M182" s="6"/>
      <c r="N182" s="3"/>
      <c r="O182" s="6"/>
      <c r="P182" s="3"/>
      <c r="Q182" s="6"/>
      <c r="R182" s="6"/>
      <c r="S182" s="3"/>
      <c r="T182" s="6"/>
      <c r="U182" s="3"/>
      <c r="V182" s="6"/>
      <c r="W182" s="6"/>
      <c r="X182" s="3"/>
      <c r="Y182" s="6"/>
      <c r="Z182" s="3"/>
      <c r="AA182" s="6"/>
      <c r="AB182" s="6"/>
      <c r="AC182" s="3"/>
    </row>
    <row r="183" spans="1:29" ht="15.75" customHeight="1" x14ac:dyDescent="0.2">
      <c r="A183" s="2"/>
      <c r="B183" s="2"/>
      <c r="C183" s="2"/>
      <c r="D183" s="14"/>
      <c r="E183" s="6"/>
      <c r="F183" s="3"/>
      <c r="G183" s="6"/>
      <c r="H183" s="6"/>
      <c r="I183" s="3"/>
      <c r="J183" s="6"/>
      <c r="K183" s="3"/>
      <c r="L183" s="6"/>
      <c r="M183" s="6"/>
      <c r="N183" s="3"/>
      <c r="O183" s="6"/>
      <c r="P183" s="3"/>
      <c r="Q183" s="6"/>
      <c r="R183" s="6"/>
      <c r="S183" s="3"/>
      <c r="T183" s="6"/>
      <c r="U183" s="3"/>
      <c r="V183" s="6"/>
      <c r="W183" s="6"/>
      <c r="X183" s="3"/>
      <c r="Y183" s="6"/>
      <c r="Z183" s="3"/>
      <c r="AA183" s="6"/>
      <c r="AB183" s="6"/>
      <c r="AC183" s="3"/>
    </row>
    <row r="184" spans="1:29" ht="15.75" customHeight="1" x14ac:dyDescent="0.2">
      <c r="A184" s="2"/>
      <c r="B184" s="2"/>
      <c r="C184" s="2"/>
      <c r="D184" s="14"/>
      <c r="E184" s="6"/>
      <c r="F184" s="3"/>
      <c r="G184" s="6"/>
      <c r="H184" s="6"/>
      <c r="I184" s="3"/>
      <c r="J184" s="6"/>
      <c r="K184" s="3"/>
      <c r="L184" s="6"/>
      <c r="M184" s="6"/>
      <c r="N184" s="3"/>
      <c r="O184" s="6"/>
      <c r="P184" s="3"/>
      <c r="Q184" s="6"/>
      <c r="R184" s="6"/>
      <c r="S184" s="3"/>
      <c r="T184" s="6"/>
      <c r="U184" s="3"/>
      <c r="V184" s="6"/>
      <c r="W184" s="6"/>
      <c r="X184" s="3"/>
      <c r="Y184" s="6"/>
      <c r="Z184" s="3"/>
      <c r="AA184" s="6"/>
      <c r="AB184" s="6"/>
      <c r="AC184" s="3"/>
    </row>
    <row r="185" spans="1:29" ht="15.75" customHeight="1" x14ac:dyDescent="0.2">
      <c r="A185" s="2"/>
      <c r="B185" s="2"/>
      <c r="C185" s="2"/>
      <c r="D185" s="14"/>
      <c r="E185" s="6"/>
      <c r="F185" s="3"/>
      <c r="G185" s="6"/>
      <c r="H185" s="6"/>
      <c r="I185" s="3"/>
      <c r="J185" s="6"/>
      <c r="K185" s="3"/>
      <c r="L185" s="6"/>
      <c r="M185" s="6"/>
      <c r="N185" s="3"/>
      <c r="O185" s="6"/>
      <c r="P185" s="3"/>
      <c r="Q185" s="6"/>
      <c r="R185" s="6"/>
      <c r="S185" s="3"/>
      <c r="T185" s="6"/>
      <c r="U185" s="3"/>
      <c r="V185" s="6"/>
      <c r="W185" s="6"/>
      <c r="X185" s="3"/>
      <c r="Y185" s="6"/>
      <c r="Z185" s="3"/>
      <c r="AA185" s="6"/>
      <c r="AB185" s="6"/>
      <c r="AC185" s="3"/>
    </row>
    <row r="186" spans="1:29" ht="15.75" customHeight="1" x14ac:dyDescent="0.2">
      <c r="A186" s="2"/>
      <c r="B186" s="2"/>
      <c r="C186" s="2"/>
      <c r="D186" s="14"/>
      <c r="E186" s="6"/>
      <c r="F186" s="3"/>
      <c r="G186" s="6"/>
      <c r="H186" s="6"/>
      <c r="I186" s="3"/>
      <c r="J186" s="6"/>
      <c r="K186" s="3"/>
      <c r="L186" s="6"/>
      <c r="M186" s="6"/>
      <c r="N186" s="3"/>
      <c r="O186" s="6"/>
      <c r="P186" s="3"/>
      <c r="Q186" s="6"/>
      <c r="R186" s="6"/>
      <c r="S186" s="3"/>
      <c r="T186" s="6"/>
      <c r="U186" s="3"/>
      <c r="V186" s="6"/>
      <c r="W186" s="6"/>
      <c r="X186" s="3"/>
      <c r="Y186" s="6"/>
      <c r="Z186" s="3"/>
      <c r="AA186" s="6"/>
      <c r="AB186" s="6"/>
      <c r="AC186" s="3"/>
    </row>
    <row r="187" spans="1:29" ht="15.75" customHeight="1" x14ac:dyDescent="0.2">
      <c r="A187" s="2"/>
      <c r="B187" s="2"/>
      <c r="C187" s="2"/>
      <c r="D187" s="14"/>
      <c r="E187" s="6"/>
      <c r="F187" s="3"/>
      <c r="G187" s="6"/>
      <c r="H187" s="6"/>
      <c r="I187" s="3"/>
      <c r="J187" s="6"/>
      <c r="K187" s="3"/>
      <c r="L187" s="6"/>
      <c r="M187" s="6"/>
      <c r="N187" s="3"/>
      <c r="O187" s="6"/>
      <c r="P187" s="3"/>
      <c r="Q187" s="6"/>
      <c r="R187" s="6"/>
      <c r="S187" s="3"/>
      <c r="T187" s="6"/>
      <c r="U187" s="3"/>
      <c r="V187" s="6"/>
      <c r="W187" s="6"/>
      <c r="X187" s="3"/>
      <c r="Y187" s="6"/>
      <c r="Z187" s="3"/>
      <c r="AA187" s="6"/>
      <c r="AB187" s="6"/>
      <c r="AC187" s="3"/>
    </row>
    <row r="188" spans="1:29" ht="15.75" customHeight="1" x14ac:dyDescent="0.2">
      <c r="A188" s="2"/>
      <c r="B188" s="2"/>
      <c r="C188" s="2"/>
      <c r="D188" s="14"/>
      <c r="E188" s="6"/>
      <c r="F188" s="3"/>
      <c r="G188" s="6"/>
      <c r="H188" s="6"/>
      <c r="I188" s="3"/>
      <c r="J188" s="6"/>
      <c r="K188" s="3"/>
      <c r="L188" s="6"/>
      <c r="M188" s="6"/>
      <c r="N188" s="3"/>
      <c r="O188" s="6"/>
      <c r="P188" s="3"/>
      <c r="Q188" s="6"/>
      <c r="R188" s="6"/>
      <c r="S188" s="3"/>
      <c r="T188" s="6"/>
      <c r="U188" s="3"/>
      <c r="V188" s="6"/>
      <c r="W188" s="6"/>
      <c r="X188" s="3"/>
      <c r="Y188" s="6"/>
      <c r="Z188" s="3"/>
      <c r="AA188" s="6"/>
      <c r="AB188" s="6"/>
      <c r="AC188" s="3"/>
    </row>
    <row r="189" spans="1:29" ht="15.75" customHeight="1" x14ac:dyDescent="0.2">
      <c r="A189" s="2"/>
      <c r="B189" s="2"/>
      <c r="C189" s="2"/>
      <c r="D189" s="14"/>
      <c r="E189" s="6"/>
      <c r="F189" s="3"/>
      <c r="G189" s="6"/>
      <c r="H189" s="6"/>
      <c r="I189" s="3"/>
      <c r="J189" s="6"/>
      <c r="K189" s="3"/>
      <c r="L189" s="6"/>
      <c r="M189" s="6"/>
      <c r="N189" s="3"/>
      <c r="O189" s="6"/>
      <c r="P189" s="3"/>
      <c r="Q189" s="6"/>
      <c r="R189" s="6"/>
      <c r="S189" s="3"/>
      <c r="T189" s="6"/>
      <c r="U189" s="3"/>
      <c r="V189" s="6"/>
      <c r="W189" s="6"/>
      <c r="X189" s="3"/>
      <c r="Y189" s="6"/>
      <c r="Z189" s="3"/>
      <c r="AA189" s="6"/>
      <c r="AB189" s="6"/>
      <c r="AC189" s="3"/>
    </row>
    <row r="190" spans="1:29" ht="15.75" customHeight="1" x14ac:dyDescent="0.2">
      <c r="A190" s="2"/>
      <c r="B190" s="2"/>
      <c r="C190" s="2"/>
      <c r="D190" s="14"/>
      <c r="E190" s="6"/>
      <c r="F190" s="3"/>
      <c r="G190" s="6"/>
      <c r="H190" s="6"/>
      <c r="I190" s="3"/>
      <c r="J190" s="6"/>
      <c r="K190" s="3"/>
      <c r="L190" s="6"/>
      <c r="M190" s="6"/>
      <c r="N190" s="3"/>
      <c r="O190" s="6"/>
      <c r="P190" s="3"/>
      <c r="Q190" s="6"/>
      <c r="R190" s="6"/>
      <c r="S190" s="3"/>
      <c r="T190" s="6"/>
      <c r="U190" s="3"/>
      <c r="V190" s="6"/>
      <c r="W190" s="6"/>
      <c r="X190" s="3"/>
      <c r="Y190" s="6"/>
      <c r="Z190" s="3"/>
      <c r="AA190" s="6"/>
      <c r="AB190" s="6"/>
      <c r="AC190" s="3"/>
    </row>
    <row r="191" spans="1:29" ht="15.75" customHeight="1" x14ac:dyDescent="0.2">
      <c r="A191" s="2"/>
      <c r="B191" s="2"/>
      <c r="C191" s="2"/>
      <c r="D191" s="14"/>
      <c r="E191" s="6"/>
      <c r="F191" s="3"/>
      <c r="G191" s="6"/>
      <c r="H191" s="6"/>
      <c r="I191" s="3"/>
      <c r="J191" s="6"/>
      <c r="K191" s="3"/>
      <c r="L191" s="6"/>
      <c r="M191" s="6"/>
      <c r="N191" s="3"/>
      <c r="O191" s="6"/>
      <c r="P191" s="3"/>
      <c r="Q191" s="6"/>
      <c r="R191" s="6"/>
      <c r="S191" s="3"/>
      <c r="T191" s="6"/>
      <c r="U191" s="3"/>
      <c r="V191" s="6"/>
      <c r="W191" s="6"/>
      <c r="X191" s="3"/>
      <c r="Y191" s="6"/>
      <c r="Z191" s="3"/>
      <c r="AA191" s="6"/>
      <c r="AB191" s="6"/>
      <c r="AC191" s="3"/>
    </row>
    <row r="192" spans="1:29" ht="15.75" customHeight="1" x14ac:dyDescent="0.2">
      <c r="A192" s="2"/>
      <c r="B192" s="2"/>
      <c r="C192" s="2"/>
      <c r="D192" s="14"/>
      <c r="E192" s="6"/>
      <c r="F192" s="3"/>
      <c r="G192" s="6"/>
      <c r="H192" s="6"/>
      <c r="I192" s="3"/>
      <c r="J192" s="6"/>
      <c r="K192" s="3"/>
      <c r="L192" s="6"/>
      <c r="M192" s="6"/>
      <c r="N192" s="3"/>
      <c r="O192" s="6"/>
      <c r="P192" s="3"/>
      <c r="Q192" s="6"/>
      <c r="R192" s="6"/>
      <c r="S192" s="3"/>
      <c r="T192" s="6"/>
      <c r="U192" s="3"/>
      <c r="V192" s="6"/>
      <c r="W192" s="6"/>
      <c r="X192" s="3"/>
      <c r="Y192" s="6"/>
      <c r="Z192" s="3"/>
      <c r="AA192" s="6"/>
      <c r="AB192" s="6"/>
      <c r="AC192" s="3"/>
    </row>
    <row r="193" spans="1:29" ht="15.75" customHeight="1" x14ac:dyDescent="0.2">
      <c r="A193" s="2"/>
      <c r="B193" s="2"/>
      <c r="C193" s="2"/>
      <c r="D193" s="14"/>
      <c r="E193" s="6"/>
      <c r="F193" s="3"/>
      <c r="G193" s="6"/>
      <c r="H193" s="6"/>
      <c r="I193" s="3"/>
      <c r="J193" s="6"/>
      <c r="K193" s="3"/>
      <c r="L193" s="6"/>
      <c r="M193" s="6"/>
      <c r="N193" s="3"/>
      <c r="O193" s="6"/>
      <c r="P193" s="3"/>
      <c r="Q193" s="6"/>
      <c r="R193" s="6"/>
      <c r="S193" s="3"/>
      <c r="T193" s="6"/>
      <c r="U193" s="3"/>
      <c r="V193" s="6"/>
      <c r="W193" s="6"/>
      <c r="X193" s="3"/>
      <c r="Y193" s="6"/>
      <c r="Z193" s="3"/>
      <c r="AA193" s="6"/>
      <c r="AB193" s="6"/>
      <c r="AC193" s="3"/>
    </row>
    <row r="194" spans="1:29" ht="15.75" customHeight="1" x14ac:dyDescent="0.2">
      <c r="A194" s="2"/>
      <c r="B194" s="2"/>
      <c r="C194" s="2"/>
      <c r="D194" s="14"/>
      <c r="E194" s="6"/>
      <c r="F194" s="3"/>
      <c r="G194" s="6"/>
      <c r="H194" s="6"/>
      <c r="I194" s="3"/>
      <c r="J194" s="6"/>
      <c r="K194" s="3"/>
      <c r="L194" s="6"/>
      <c r="M194" s="6"/>
      <c r="N194" s="3"/>
      <c r="O194" s="6"/>
      <c r="P194" s="3"/>
      <c r="Q194" s="6"/>
      <c r="R194" s="6"/>
      <c r="S194" s="3"/>
      <c r="T194" s="6"/>
      <c r="U194" s="3"/>
      <c r="V194" s="6"/>
      <c r="W194" s="6"/>
      <c r="X194" s="3"/>
      <c r="Y194" s="6"/>
      <c r="Z194" s="3"/>
      <c r="AA194" s="6"/>
      <c r="AB194" s="6"/>
      <c r="AC194" s="3"/>
    </row>
    <row r="195" spans="1:29" ht="15.75" customHeight="1" x14ac:dyDescent="0.2">
      <c r="A195" s="2"/>
      <c r="B195" s="2"/>
      <c r="C195" s="2"/>
      <c r="D195" s="14"/>
      <c r="E195" s="6"/>
      <c r="F195" s="3"/>
      <c r="G195" s="6"/>
      <c r="H195" s="6"/>
      <c r="I195" s="3"/>
      <c r="J195" s="6"/>
      <c r="K195" s="3"/>
      <c r="L195" s="6"/>
      <c r="M195" s="6"/>
      <c r="N195" s="3"/>
      <c r="O195" s="6"/>
      <c r="P195" s="3"/>
      <c r="Q195" s="6"/>
      <c r="R195" s="6"/>
      <c r="S195" s="3"/>
      <c r="T195" s="6"/>
      <c r="U195" s="3"/>
      <c r="V195" s="6"/>
      <c r="W195" s="6"/>
      <c r="X195" s="3"/>
      <c r="Y195" s="6"/>
      <c r="Z195" s="3"/>
      <c r="AA195" s="6"/>
      <c r="AB195" s="6"/>
      <c r="AC195" s="3"/>
    </row>
    <row r="196" spans="1:29" ht="15.75" customHeight="1" x14ac:dyDescent="0.2">
      <c r="A196" s="2"/>
      <c r="B196" s="2"/>
      <c r="C196" s="2"/>
      <c r="D196" s="14"/>
      <c r="E196" s="6"/>
      <c r="F196" s="3"/>
      <c r="G196" s="6"/>
      <c r="H196" s="6"/>
      <c r="I196" s="3"/>
      <c r="J196" s="6"/>
      <c r="K196" s="3"/>
      <c r="L196" s="6"/>
      <c r="M196" s="6"/>
      <c r="N196" s="3"/>
      <c r="O196" s="6"/>
      <c r="P196" s="3"/>
      <c r="Q196" s="6"/>
      <c r="R196" s="6"/>
      <c r="S196" s="3"/>
      <c r="T196" s="6"/>
      <c r="U196" s="3"/>
      <c r="V196" s="6"/>
      <c r="W196" s="6"/>
      <c r="X196" s="3"/>
      <c r="Y196" s="6"/>
      <c r="Z196" s="3"/>
      <c r="AA196" s="6"/>
      <c r="AB196" s="6"/>
      <c r="AC196" s="3"/>
    </row>
    <row r="197" spans="1:29" ht="15.75" customHeight="1" x14ac:dyDescent="0.2">
      <c r="A197" s="2"/>
      <c r="B197" s="2"/>
      <c r="C197" s="2"/>
      <c r="D197" s="14"/>
      <c r="E197" s="6"/>
      <c r="F197" s="3"/>
      <c r="G197" s="6"/>
      <c r="H197" s="6"/>
      <c r="I197" s="3"/>
      <c r="J197" s="6"/>
      <c r="K197" s="3"/>
      <c r="L197" s="6"/>
      <c r="M197" s="6"/>
      <c r="N197" s="3"/>
      <c r="O197" s="6"/>
      <c r="P197" s="3"/>
      <c r="Q197" s="6"/>
      <c r="R197" s="6"/>
      <c r="S197" s="3"/>
      <c r="T197" s="6"/>
      <c r="U197" s="3"/>
      <c r="V197" s="6"/>
      <c r="W197" s="6"/>
      <c r="X197" s="3"/>
      <c r="Y197" s="6"/>
      <c r="Z197" s="3"/>
      <c r="AA197" s="6"/>
      <c r="AB197" s="6"/>
      <c r="AC197" s="3"/>
    </row>
    <row r="198" spans="1:29" ht="15.75" customHeight="1" x14ac:dyDescent="0.2">
      <c r="A198" s="2"/>
      <c r="B198" s="2"/>
      <c r="C198" s="2"/>
      <c r="D198" s="14"/>
      <c r="E198" s="6"/>
      <c r="F198" s="3"/>
      <c r="G198" s="6"/>
      <c r="H198" s="6"/>
      <c r="I198" s="3"/>
      <c r="J198" s="6"/>
      <c r="K198" s="3"/>
      <c r="L198" s="6"/>
      <c r="M198" s="6"/>
      <c r="N198" s="3"/>
      <c r="O198" s="6"/>
      <c r="P198" s="3"/>
      <c r="Q198" s="6"/>
      <c r="R198" s="6"/>
      <c r="S198" s="3"/>
      <c r="T198" s="6"/>
      <c r="U198" s="3"/>
      <c r="V198" s="6"/>
      <c r="W198" s="6"/>
      <c r="X198" s="3"/>
      <c r="Y198" s="6"/>
      <c r="Z198" s="3"/>
      <c r="AA198" s="6"/>
      <c r="AB198" s="6"/>
      <c r="AC198" s="3"/>
    </row>
    <row r="199" spans="1:29" ht="15.75" customHeight="1" x14ac:dyDescent="0.2">
      <c r="A199" s="2"/>
      <c r="B199" s="2"/>
      <c r="C199" s="2"/>
      <c r="D199" s="14"/>
      <c r="E199" s="6"/>
      <c r="F199" s="3"/>
      <c r="G199" s="6"/>
      <c r="H199" s="6"/>
      <c r="I199" s="3"/>
      <c r="J199" s="6"/>
      <c r="K199" s="3"/>
      <c r="L199" s="6"/>
      <c r="M199" s="6"/>
      <c r="N199" s="3"/>
      <c r="O199" s="6"/>
      <c r="P199" s="3"/>
      <c r="Q199" s="6"/>
      <c r="R199" s="6"/>
      <c r="S199" s="3"/>
      <c r="T199" s="6"/>
      <c r="U199" s="3"/>
      <c r="V199" s="6"/>
      <c r="W199" s="6"/>
      <c r="X199" s="3"/>
      <c r="Y199" s="6"/>
      <c r="Z199" s="3"/>
      <c r="AA199" s="6"/>
      <c r="AB199" s="6"/>
      <c r="AC199" s="3"/>
    </row>
    <row r="200" spans="1:29" ht="15.75" customHeight="1" x14ac:dyDescent="0.2">
      <c r="A200" s="2"/>
      <c r="B200" s="2"/>
      <c r="C200" s="2"/>
      <c r="D200" s="14"/>
      <c r="E200" s="6"/>
      <c r="F200" s="3"/>
      <c r="G200" s="6"/>
      <c r="H200" s="6"/>
      <c r="I200" s="3"/>
      <c r="J200" s="6"/>
      <c r="K200" s="3"/>
      <c r="L200" s="6"/>
      <c r="M200" s="6"/>
      <c r="N200" s="3"/>
      <c r="O200" s="6"/>
      <c r="P200" s="3"/>
      <c r="Q200" s="6"/>
      <c r="R200" s="6"/>
      <c r="S200" s="3"/>
      <c r="T200" s="6"/>
      <c r="U200" s="3"/>
      <c r="V200" s="6"/>
      <c r="W200" s="6"/>
      <c r="X200" s="3"/>
      <c r="Y200" s="6"/>
      <c r="Z200" s="3"/>
      <c r="AA200" s="6"/>
      <c r="AB200" s="6"/>
      <c r="AC200" s="3"/>
    </row>
    <row r="201" spans="1:29" ht="15.75" customHeight="1" x14ac:dyDescent="0.2">
      <c r="A201" s="2"/>
      <c r="B201" s="2"/>
      <c r="C201" s="2"/>
      <c r="D201" s="14"/>
      <c r="E201" s="6"/>
      <c r="F201" s="3"/>
      <c r="G201" s="6"/>
      <c r="H201" s="6"/>
      <c r="I201" s="3"/>
      <c r="J201" s="6"/>
      <c r="K201" s="3"/>
      <c r="L201" s="6"/>
      <c r="M201" s="6"/>
      <c r="N201" s="3"/>
      <c r="O201" s="6"/>
      <c r="P201" s="3"/>
      <c r="Q201" s="6"/>
      <c r="R201" s="6"/>
      <c r="S201" s="3"/>
      <c r="T201" s="6"/>
      <c r="U201" s="3"/>
      <c r="V201" s="6"/>
      <c r="W201" s="6"/>
      <c r="X201" s="3"/>
      <c r="Y201" s="6"/>
      <c r="Z201" s="3"/>
      <c r="AA201" s="6"/>
      <c r="AB201" s="6"/>
      <c r="AC201" s="3"/>
    </row>
    <row r="202" spans="1:29" ht="15.75" customHeight="1" x14ac:dyDescent="0.2">
      <c r="A202" s="2"/>
      <c r="B202" s="2"/>
      <c r="C202" s="2"/>
      <c r="D202" s="14"/>
      <c r="E202" s="6"/>
      <c r="F202" s="3"/>
      <c r="G202" s="6"/>
      <c r="H202" s="6"/>
      <c r="I202" s="3"/>
      <c r="J202" s="6"/>
      <c r="K202" s="3"/>
      <c r="L202" s="6"/>
      <c r="M202" s="6"/>
      <c r="N202" s="3"/>
      <c r="O202" s="6"/>
      <c r="P202" s="3"/>
      <c r="Q202" s="6"/>
      <c r="R202" s="6"/>
      <c r="S202" s="3"/>
      <c r="T202" s="6"/>
      <c r="U202" s="3"/>
      <c r="V202" s="6"/>
      <c r="W202" s="6"/>
      <c r="X202" s="3"/>
      <c r="Y202" s="6"/>
      <c r="Z202" s="3"/>
      <c r="AA202" s="6"/>
      <c r="AB202" s="6"/>
      <c r="AC202" s="3"/>
    </row>
    <row r="203" spans="1:29" ht="15.75" customHeight="1" x14ac:dyDescent="0.2">
      <c r="A203" s="2"/>
      <c r="B203" s="2"/>
      <c r="C203" s="2"/>
      <c r="D203" s="14"/>
      <c r="E203" s="6"/>
      <c r="F203" s="3"/>
      <c r="G203" s="6"/>
      <c r="H203" s="6"/>
      <c r="I203" s="3"/>
      <c r="J203" s="6"/>
      <c r="K203" s="3"/>
      <c r="L203" s="6"/>
      <c r="M203" s="6"/>
      <c r="N203" s="3"/>
      <c r="O203" s="6"/>
      <c r="P203" s="3"/>
      <c r="Q203" s="6"/>
      <c r="R203" s="6"/>
      <c r="S203" s="3"/>
      <c r="T203" s="6"/>
      <c r="U203" s="3"/>
      <c r="V203" s="6"/>
      <c r="W203" s="6"/>
      <c r="X203" s="3"/>
      <c r="Y203" s="6"/>
      <c r="Z203" s="3"/>
      <c r="AA203" s="6"/>
      <c r="AB203" s="6"/>
      <c r="AC203" s="3"/>
    </row>
    <row r="204" spans="1:29" ht="15.75" customHeight="1" x14ac:dyDescent="0.2">
      <c r="A204" s="2"/>
      <c r="B204" s="2"/>
      <c r="C204" s="2"/>
      <c r="D204" s="14"/>
      <c r="E204" s="6"/>
      <c r="F204" s="3"/>
      <c r="G204" s="6"/>
      <c r="H204" s="6"/>
      <c r="I204" s="3"/>
      <c r="J204" s="6"/>
      <c r="K204" s="3"/>
      <c r="L204" s="6"/>
      <c r="M204" s="6"/>
      <c r="N204" s="3"/>
      <c r="O204" s="6"/>
      <c r="P204" s="3"/>
      <c r="Q204" s="6"/>
      <c r="R204" s="6"/>
      <c r="S204" s="3"/>
      <c r="T204" s="6"/>
      <c r="U204" s="3"/>
      <c r="V204" s="6"/>
      <c r="W204" s="6"/>
      <c r="X204" s="3"/>
      <c r="Y204" s="6"/>
      <c r="Z204" s="3"/>
      <c r="AA204" s="6"/>
      <c r="AB204" s="6"/>
      <c r="AC204" s="3"/>
    </row>
    <row r="205" spans="1:29" ht="15.75" customHeight="1" x14ac:dyDescent="0.2">
      <c r="A205" s="2"/>
      <c r="B205" s="2"/>
      <c r="C205" s="2"/>
      <c r="D205" s="14"/>
      <c r="E205" s="6"/>
      <c r="F205" s="3"/>
      <c r="G205" s="6"/>
      <c r="H205" s="6"/>
      <c r="I205" s="3"/>
      <c r="J205" s="6"/>
      <c r="K205" s="3"/>
      <c r="L205" s="6"/>
      <c r="M205" s="6"/>
      <c r="N205" s="3"/>
      <c r="O205" s="6"/>
      <c r="P205" s="3"/>
      <c r="Q205" s="6"/>
      <c r="R205" s="6"/>
      <c r="S205" s="3"/>
      <c r="T205" s="6"/>
      <c r="U205" s="3"/>
      <c r="V205" s="6"/>
      <c r="W205" s="6"/>
      <c r="X205" s="3"/>
      <c r="Y205" s="6"/>
      <c r="Z205" s="3"/>
      <c r="AA205" s="6"/>
      <c r="AB205" s="6"/>
      <c r="AC205" s="3"/>
    </row>
    <row r="206" spans="1:29" ht="15.75" customHeight="1" x14ac:dyDescent="0.2">
      <c r="A206" s="2"/>
      <c r="B206" s="2"/>
      <c r="C206" s="2"/>
      <c r="D206" s="14"/>
      <c r="E206" s="6"/>
      <c r="F206" s="3"/>
      <c r="G206" s="6"/>
      <c r="H206" s="6"/>
      <c r="I206" s="3"/>
      <c r="J206" s="6"/>
      <c r="K206" s="3"/>
      <c r="L206" s="6"/>
      <c r="M206" s="6"/>
      <c r="N206" s="3"/>
      <c r="O206" s="6"/>
      <c r="P206" s="3"/>
      <c r="Q206" s="6"/>
      <c r="R206" s="6"/>
      <c r="S206" s="3"/>
      <c r="T206" s="6"/>
      <c r="U206" s="3"/>
      <c r="V206" s="6"/>
      <c r="W206" s="6"/>
      <c r="X206" s="3"/>
      <c r="Y206" s="6"/>
      <c r="Z206" s="3"/>
      <c r="AA206" s="6"/>
      <c r="AB206" s="6"/>
      <c r="AC206" s="3"/>
    </row>
    <row r="207" spans="1:29" ht="15.75" customHeight="1" x14ac:dyDescent="0.2">
      <c r="A207" s="2"/>
      <c r="B207" s="2"/>
      <c r="C207" s="2"/>
      <c r="D207" s="14"/>
      <c r="E207" s="6"/>
      <c r="F207" s="3"/>
      <c r="G207" s="6"/>
      <c r="H207" s="6"/>
      <c r="I207" s="3"/>
      <c r="J207" s="6"/>
      <c r="K207" s="3"/>
      <c r="L207" s="6"/>
      <c r="M207" s="6"/>
      <c r="N207" s="3"/>
      <c r="O207" s="6"/>
      <c r="P207" s="3"/>
      <c r="Q207" s="6"/>
      <c r="R207" s="6"/>
      <c r="S207" s="3"/>
      <c r="T207" s="6"/>
      <c r="U207" s="3"/>
      <c r="V207" s="6"/>
      <c r="W207" s="6"/>
      <c r="X207" s="3"/>
      <c r="Y207" s="6"/>
      <c r="Z207" s="3"/>
      <c r="AA207" s="6"/>
      <c r="AB207" s="6"/>
      <c r="AC207" s="3"/>
    </row>
    <row r="208" spans="1:29" ht="15.75" customHeight="1" x14ac:dyDescent="0.2">
      <c r="A208" s="2"/>
      <c r="B208" s="2"/>
      <c r="C208" s="2"/>
      <c r="D208" s="14"/>
      <c r="E208" s="6"/>
      <c r="F208" s="3"/>
      <c r="G208" s="6"/>
      <c r="H208" s="6"/>
      <c r="I208" s="3"/>
      <c r="J208" s="6"/>
      <c r="K208" s="3"/>
      <c r="L208" s="6"/>
      <c r="M208" s="6"/>
      <c r="N208" s="3"/>
      <c r="O208" s="6"/>
      <c r="P208" s="3"/>
      <c r="Q208" s="6"/>
      <c r="R208" s="6"/>
      <c r="S208" s="3"/>
      <c r="T208" s="6"/>
      <c r="U208" s="3"/>
      <c r="V208" s="6"/>
      <c r="W208" s="6"/>
      <c r="X208" s="3"/>
      <c r="Y208" s="6"/>
      <c r="Z208" s="3"/>
      <c r="AA208" s="6"/>
      <c r="AB208" s="6"/>
      <c r="AC208" s="3"/>
    </row>
    <row r="209" spans="1:29" ht="15.75" customHeight="1" x14ac:dyDescent="0.2">
      <c r="A209" s="2"/>
      <c r="B209" s="2"/>
      <c r="C209" s="2"/>
      <c r="D209" s="14"/>
      <c r="E209" s="6"/>
      <c r="F209" s="3"/>
      <c r="G209" s="6"/>
      <c r="H209" s="6"/>
      <c r="I209" s="3"/>
      <c r="J209" s="6"/>
      <c r="K209" s="3"/>
      <c r="L209" s="6"/>
      <c r="M209" s="6"/>
      <c r="N209" s="3"/>
      <c r="O209" s="6"/>
      <c r="P209" s="3"/>
      <c r="Q209" s="6"/>
      <c r="R209" s="6"/>
      <c r="S209" s="3"/>
      <c r="T209" s="6"/>
      <c r="U209" s="3"/>
      <c r="V209" s="6"/>
      <c r="W209" s="6"/>
      <c r="X209" s="3"/>
      <c r="Y209" s="6"/>
      <c r="Z209" s="3"/>
      <c r="AA209" s="6"/>
      <c r="AB209" s="6"/>
      <c r="AC209" s="3"/>
    </row>
    <row r="210" spans="1:29" ht="15.75" customHeight="1" x14ac:dyDescent="0.2">
      <c r="A210" s="2"/>
      <c r="B210" s="2"/>
      <c r="C210" s="2"/>
      <c r="D210" s="14"/>
      <c r="E210" s="6"/>
      <c r="F210" s="3"/>
      <c r="G210" s="6"/>
      <c r="H210" s="6"/>
      <c r="I210" s="3"/>
      <c r="J210" s="6"/>
      <c r="K210" s="3"/>
      <c r="L210" s="6"/>
      <c r="M210" s="6"/>
      <c r="N210" s="3"/>
      <c r="O210" s="6"/>
      <c r="P210" s="3"/>
      <c r="Q210" s="6"/>
      <c r="R210" s="6"/>
      <c r="S210" s="3"/>
      <c r="T210" s="6"/>
      <c r="U210" s="3"/>
      <c r="V210" s="6"/>
      <c r="W210" s="6"/>
      <c r="X210" s="3"/>
      <c r="Y210" s="6"/>
      <c r="Z210" s="3"/>
      <c r="AA210" s="6"/>
      <c r="AB210" s="6"/>
      <c r="AC210" s="3"/>
    </row>
    <row r="211" spans="1:29" ht="15.75" customHeight="1" x14ac:dyDescent="0.2">
      <c r="A211" s="2"/>
      <c r="B211" s="2"/>
      <c r="C211" s="2"/>
      <c r="D211" s="14"/>
      <c r="E211" s="6"/>
      <c r="F211" s="3"/>
      <c r="G211" s="6"/>
      <c r="H211" s="6"/>
      <c r="I211" s="3"/>
      <c r="J211" s="6"/>
      <c r="K211" s="3"/>
      <c r="L211" s="6"/>
      <c r="M211" s="6"/>
      <c r="N211" s="3"/>
      <c r="O211" s="6"/>
      <c r="P211" s="3"/>
      <c r="Q211" s="6"/>
      <c r="R211" s="6"/>
      <c r="S211" s="3"/>
      <c r="T211" s="6"/>
      <c r="U211" s="3"/>
      <c r="V211" s="6"/>
      <c r="W211" s="6"/>
      <c r="X211" s="3"/>
      <c r="Y211" s="6"/>
      <c r="Z211" s="3"/>
      <c r="AA211" s="6"/>
      <c r="AB211" s="6"/>
      <c r="AC211" s="3"/>
    </row>
    <row r="212" spans="1:29" ht="15.75" customHeight="1" x14ac:dyDescent="0.2">
      <c r="A212" s="2"/>
      <c r="B212" s="2"/>
      <c r="C212" s="2"/>
      <c r="D212" s="14"/>
      <c r="E212" s="6"/>
      <c r="F212" s="3"/>
      <c r="G212" s="6"/>
      <c r="H212" s="6"/>
      <c r="I212" s="3"/>
      <c r="J212" s="6"/>
      <c r="K212" s="3"/>
      <c r="L212" s="6"/>
      <c r="M212" s="6"/>
      <c r="N212" s="3"/>
      <c r="O212" s="6"/>
      <c r="P212" s="3"/>
      <c r="Q212" s="6"/>
      <c r="R212" s="6"/>
      <c r="S212" s="3"/>
      <c r="T212" s="6"/>
      <c r="U212" s="3"/>
      <c r="V212" s="6"/>
      <c r="W212" s="6"/>
      <c r="X212" s="3"/>
      <c r="Y212" s="6"/>
      <c r="Z212" s="3"/>
      <c r="AA212" s="6"/>
      <c r="AB212" s="6"/>
      <c r="AC212" s="3"/>
    </row>
    <row r="213" spans="1:29" ht="15.75" customHeight="1" x14ac:dyDescent="0.2">
      <c r="A213" s="2"/>
      <c r="B213" s="2"/>
      <c r="C213" s="2"/>
      <c r="D213" s="14"/>
      <c r="E213" s="6"/>
      <c r="F213" s="3"/>
      <c r="G213" s="6"/>
      <c r="H213" s="6"/>
      <c r="I213" s="3"/>
      <c r="J213" s="6"/>
      <c r="K213" s="3"/>
      <c r="L213" s="6"/>
      <c r="M213" s="6"/>
      <c r="N213" s="3"/>
      <c r="O213" s="6"/>
      <c r="P213" s="3"/>
      <c r="Q213" s="6"/>
      <c r="R213" s="6"/>
      <c r="S213" s="3"/>
      <c r="T213" s="6"/>
      <c r="U213" s="3"/>
      <c r="V213" s="6"/>
      <c r="W213" s="6"/>
      <c r="X213" s="3"/>
      <c r="Y213" s="6"/>
      <c r="Z213" s="3"/>
      <c r="AA213" s="6"/>
      <c r="AB213" s="6"/>
      <c r="AC213" s="3"/>
    </row>
    <row r="214" spans="1:29" ht="15.75" customHeight="1" x14ac:dyDescent="0.2">
      <c r="A214" s="2"/>
      <c r="B214" s="2"/>
      <c r="C214" s="2"/>
      <c r="D214" s="14"/>
      <c r="E214" s="6"/>
      <c r="F214" s="3"/>
      <c r="G214" s="6"/>
      <c r="H214" s="6"/>
      <c r="I214" s="3"/>
      <c r="J214" s="6"/>
      <c r="K214" s="3"/>
      <c r="L214" s="6"/>
      <c r="M214" s="6"/>
      <c r="N214" s="3"/>
      <c r="O214" s="6"/>
      <c r="P214" s="3"/>
      <c r="Q214" s="6"/>
      <c r="R214" s="6"/>
      <c r="S214" s="3"/>
      <c r="T214" s="6"/>
      <c r="U214" s="3"/>
      <c r="V214" s="6"/>
      <c r="W214" s="6"/>
      <c r="X214" s="3"/>
      <c r="Y214" s="6"/>
      <c r="Z214" s="3"/>
      <c r="AA214" s="6"/>
      <c r="AB214" s="6"/>
      <c r="AC214" s="3"/>
    </row>
    <row r="215" spans="1:29" ht="15.75" customHeight="1" x14ac:dyDescent="0.2">
      <c r="A215" s="2"/>
      <c r="B215" s="2"/>
      <c r="C215" s="2"/>
      <c r="D215" s="14"/>
      <c r="E215" s="6"/>
      <c r="F215" s="3"/>
      <c r="G215" s="6"/>
      <c r="H215" s="6"/>
      <c r="I215" s="3"/>
      <c r="J215" s="6"/>
      <c r="K215" s="3"/>
      <c r="L215" s="6"/>
      <c r="M215" s="6"/>
      <c r="N215" s="3"/>
      <c r="O215" s="6"/>
      <c r="P215" s="3"/>
      <c r="Q215" s="6"/>
      <c r="R215" s="6"/>
      <c r="S215" s="3"/>
      <c r="T215" s="6"/>
      <c r="U215" s="3"/>
      <c r="V215" s="6"/>
      <c r="W215" s="6"/>
      <c r="X215" s="3"/>
      <c r="Y215" s="6"/>
      <c r="Z215" s="3"/>
      <c r="AA215" s="6"/>
      <c r="AB215" s="6"/>
      <c r="AC215" s="3"/>
    </row>
    <row r="216" spans="1:29" ht="15.75" customHeight="1" x14ac:dyDescent="0.2">
      <c r="A216" s="2"/>
      <c r="B216" s="2"/>
      <c r="C216" s="2"/>
      <c r="D216" s="14"/>
      <c r="E216" s="6"/>
      <c r="F216" s="3"/>
      <c r="G216" s="6"/>
      <c r="H216" s="6"/>
      <c r="I216" s="3"/>
      <c r="J216" s="6"/>
      <c r="K216" s="3"/>
      <c r="L216" s="6"/>
      <c r="M216" s="6"/>
      <c r="N216" s="3"/>
      <c r="O216" s="6"/>
      <c r="P216" s="3"/>
      <c r="Q216" s="6"/>
      <c r="R216" s="6"/>
      <c r="S216" s="3"/>
      <c r="T216" s="6"/>
      <c r="U216" s="3"/>
      <c r="V216" s="6"/>
      <c r="W216" s="6"/>
      <c r="X216" s="3"/>
      <c r="Y216" s="6"/>
      <c r="Z216" s="3"/>
      <c r="AA216" s="6"/>
      <c r="AB216" s="6"/>
      <c r="AC216" s="3"/>
    </row>
    <row r="217" spans="1:29" ht="15.75" customHeight="1" x14ac:dyDescent="0.2">
      <c r="A217" s="2"/>
      <c r="B217" s="2"/>
      <c r="C217" s="2"/>
      <c r="D217" s="14"/>
      <c r="E217" s="6"/>
      <c r="F217" s="3"/>
      <c r="G217" s="6"/>
      <c r="H217" s="6"/>
      <c r="I217" s="3"/>
      <c r="J217" s="6"/>
      <c r="K217" s="3"/>
      <c r="L217" s="6"/>
      <c r="M217" s="6"/>
      <c r="N217" s="3"/>
      <c r="O217" s="6"/>
      <c r="P217" s="3"/>
      <c r="Q217" s="6"/>
      <c r="R217" s="6"/>
      <c r="S217" s="3"/>
      <c r="T217" s="6"/>
      <c r="U217" s="3"/>
      <c r="V217" s="6"/>
      <c r="W217" s="6"/>
      <c r="X217" s="3"/>
      <c r="Y217" s="6"/>
      <c r="Z217" s="3"/>
      <c r="AA217" s="6"/>
      <c r="AB217" s="6"/>
      <c r="AC217" s="3"/>
    </row>
    <row r="218" spans="1:29" ht="15.75" customHeight="1" x14ac:dyDescent="0.2">
      <c r="A218" s="2"/>
      <c r="B218" s="2"/>
      <c r="C218" s="2"/>
      <c r="D218" s="14"/>
      <c r="E218" s="6"/>
      <c r="F218" s="3"/>
      <c r="G218" s="6"/>
      <c r="H218" s="6"/>
      <c r="I218" s="3"/>
      <c r="J218" s="6"/>
      <c r="K218" s="3"/>
      <c r="L218" s="6"/>
      <c r="M218" s="6"/>
      <c r="N218" s="3"/>
      <c r="O218" s="6"/>
      <c r="P218" s="3"/>
      <c r="Q218" s="6"/>
      <c r="R218" s="6"/>
      <c r="S218" s="3"/>
      <c r="T218" s="6"/>
      <c r="U218" s="3"/>
      <c r="V218" s="6"/>
      <c r="W218" s="6"/>
      <c r="X218" s="3"/>
      <c r="Y218" s="6"/>
      <c r="Z218" s="3"/>
      <c r="AA218" s="6"/>
      <c r="AB218" s="6"/>
      <c r="AC218" s="3"/>
    </row>
    <row r="219" spans="1:29" ht="15.75" customHeight="1" x14ac:dyDescent="0.2">
      <c r="A219" s="2"/>
      <c r="B219" s="2"/>
      <c r="C219" s="2"/>
      <c r="D219" s="14"/>
      <c r="E219" s="6"/>
      <c r="F219" s="3"/>
      <c r="G219" s="6"/>
      <c r="H219" s="6"/>
      <c r="I219" s="3"/>
      <c r="J219" s="6"/>
      <c r="K219" s="3"/>
      <c r="L219" s="6"/>
      <c r="M219" s="6"/>
      <c r="N219" s="3"/>
      <c r="O219" s="6"/>
      <c r="P219" s="3"/>
      <c r="Q219" s="6"/>
      <c r="R219" s="6"/>
      <c r="S219" s="3"/>
      <c r="T219" s="6"/>
      <c r="U219" s="3"/>
      <c r="V219" s="6"/>
      <c r="W219" s="6"/>
      <c r="X219" s="3"/>
      <c r="Y219" s="6"/>
      <c r="Z219" s="3"/>
      <c r="AA219" s="6"/>
      <c r="AB219" s="6"/>
      <c r="AC219" s="3"/>
    </row>
    <row r="220" spans="1:29" ht="15.75" customHeight="1" x14ac:dyDescent="0.2">
      <c r="A220" s="2"/>
      <c r="B220" s="2"/>
      <c r="C220" s="2"/>
      <c r="D220" s="14"/>
      <c r="E220" s="6"/>
      <c r="F220" s="3"/>
      <c r="G220" s="6"/>
      <c r="H220" s="6"/>
      <c r="I220" s="3"/>
      <c r="J220" s="6"/>
      <c r="K220" s="3"/>
      <c r="L220" s="6"/>
      <c r="M220" s="6"/>
      <c r="N220" s="3"/>
      <c r="O220" s="6"/>
      <c r="P220" s="3"/>
      <c r="Q220" s="6"/>
      <c r="R220" s="6"/>
      <c r="S220" s="3"/>
      <c r="T220" s="6"/>
      <c r="U220" s="3"/>
      <c r="V220" s="6"/>
      <c r="W220" s="6"/>
      <c r="X220" s="3"/>
      <c r="Y220" s="6"/>
      <c r="Z220" s="3"/>
      <c r="AA220" s="6"/>
      <c r="AB220" s="6"/>
      <c r="AC220" s="3"/>
    </row>
    <row r="221" spans="1:29" ht="15.75" customHeight="1" x14ac:dyDescent="0.2">
      <c r="A221" s="2"/>
      <c r="B221" s="2"/>
      <c r="C221" s="2"/>
      <c r="D221" s="14"/>
      <c r="E221" s="6"/>
      <c r="F221" s="3"/>
      <c r="G221" s="6"/>
      <c r="H221" s="6"/>
      <c r="I221" s="3"/>
      <c r="J221" s="6"/>
      <c r="K221" s="3"/>
      <c r="L221" s="6"/>
      <c r="M221" s="6"/>
      <c r="N221" s="3"/>
      <c r="O221" s="6"/>
      <c r="P221" s="3"/>
      <c r="Q221" s="6"/>
      <c r="R221" s="6"/>
      <c r="S221" s="3"/>
      <c r="T221" s="6"/>
      <c r="U221" s="3"/>
      <c r="V221" s="6"/>
      <c r="W221" s="6"/>
      <c r="X221" s="3"/>
      <c r="Y221" s="6"/>
      <c r="Z221" s="3"/>
      <c r="AA221" s="6"/>
      <c r="AB221" s="6"/>
      <c r="AC221" s="3"/>
    </row>
    <row r="222" spans="1:29" ht="15.75" customHeight="1" x14ac:dyDescent="0.2">
      <c r="A222" s="2"/>
      <c r="B222" s="2"/>
      <c r="C222" s="2"/>
      <c r="D222" s="14"/>
      <c r="E222" s="6"/>
      <c r="F222" s="3"/>
      <c r="G222" s="6"/>
      <c r="H222" s="6"/>
      <c r="I222" s="3"/>
      <c r="J222" s="6"/>
      <c r="K222" s="3"/>
      <c r="L222" s="6"/>
      <c r="M222" s="6"/>
      <c r="N222" s="3"/>
      <c r="O222" s="6"/>
      <c r="P222" s="3"/>
      <c r="Q222" s="6"/>
      <c r="R222" s="6"/>
      <c r="S222" s="3"/>
      <c r="T222" s="6"/>
      <c r="U222" s="3"/>
      <c r="V222" s="6"/>
      <c r="W222" s="6"/>
      <c r="X222" s="3"/>
      <c r="Y222" s="6"/>
      <c r="Z222" s="3"/>
      <c r="AA222" s="6"/>
      <c r="AB222" s="6"/>
      <c r="AC222" s="3"/>
    </row>
    <row r="223" spans="1:29" ht="15.75" customHeight="1" x14ac:dyDescent="0.2">
      <c r="A223" s="2"/>
      <c r="B223" s="2"/>
      <c r="C223" s="2"/>
      <c r="D223" s="14"/>
      <c r="E223" s="6"/>
      <c r="F223" s="3"/>
      <c r="G223" s="6"/>
      <c r="H223" s="6"/>
      <c r="I223" s="3"/>
      <c r="J223" s="6"/>
      <c r="K223" s="3"/>
      <c r="L223" s="6"/>
      <c r="M223" s="6"/>
      <c r="N223" s="3"/>
      <c r="O223" s="6"/>
      <c r="P223" s="3"/>
      <c r="Q223" s="6"/>
      <c r="R223" s="6"/>
      <c r="S223" s="3"/>
      <c r="T223" s="6"/>
      <c r="U223" s="3"/>
      <c r="V223" s="6"/>
      <c r="W223" s="6"/>
      <c r="X223" s="3"/>
      <c r="Y223" s="6"/>
      <c r="Z223" s="3"/>
      <c r="AA223" s="6"/>
      <c r="AB223" s="6"/>
      <c r="AC223" s="3"/>
    </row>
    <row r="224" spans="1:29" ht="15.75" customHeight="1" x14ac:dyDescent="0.2">
      <c r="A224" s="2"/>
      <c r="B224" s="2"/>
      <c r="C224" s="2"/>
      <c r="D224" s="14"/>
      <c r="E224" s="6"/>
      <c r="F224" s="3"/>
      <c r="G224" s="6"/>
      <c r="H224" s="6"/>
      <c r="I224" s="3"/>
      <c r="J224" s="6"/>
      <c r="K224" s="3"/>
      <c r="L224" s="6"/>
      <c r="M224" s="6"/>
      <c r="N224" s="3"/>
      <c r="O224" s="6"/>
      <c r="P224" s="3"/>
      <c r="Q224" s="6"/>
      <c r="R224" s="6"/>
      <c r="S224" s="3"/>
      <c r="T224" s="6"/>
      <c r="U224" s="3"/>
      <c r="V224" s="6"/>
      <c r="W224" s="6"/>
      <c r="X224" s="3"/>
      <c r="Y224" s="6"/>
      <c r="Z224" s="3"/>
      <c r="AA224" s="6"/>
      <c r="AB224" s="6"/>
      <c r="AC224" s="3"/>
    </row>
    <row r="225" spans="1:29" ht="15.75" customHeight="1" x14ac:dyDescent="0.2">
      <c r="A225" s="2"/>
      <c r="B225" s="2"/>
      <c r="C225" s="2"/>
      <c r="D225" s="14"/>
      <c r="E225" s="6"/>
      <c r="F225" s="3"/>
      <c r="G225" s="6"/>
      <c r="H225" s="6"/>
      <c r="I225" s="3"/>
      <c r="J225" s="6"/>
      <c r="K225" s="3"/>
      <c r="L225" s="6"/>
      <c r="M225" s="6"/>
      <c r="N225" s="3"/>
      <c r="O225" s="6"/>
      <c r="P225" s="3"/>
      <c r="Q225" s="6"/>
      <c r="R225" s="6"/>
      <c r="S225" s="3"/>
      <c r="T225" s="6"/>
      <c r="U225" s="3"/>
      <c r="V225" s="6"/>
      <c r="W225" s="6"/>
      <c r="X225" s="3"/>
      <c r="Y225" s="6"/>
      <c r="Z225" s="3"/>
      <c r="AA225" s="6"/>
      <c r="AB225" s="6"/>
      <c r="AC225" s="3"/>
    </row>
    <row r="226" spans="1:29" ht="15.75" customHeight="1" x14ac:dyDescent="0.2">
      <c r="A226" s="2"/>
      <c r="B226" s="2"/>
      <c r="C226" s="2"/>
      <c r="D226" s="14"/>
      <c r="E226" s="6"/>
      <c r="F226" s="3"/>
      <c r="G226" s="6"/>
      <c r="H226" s="6"/>
      <c r="I226" s="3"/>
      <c r="J226" s="6"/>
      <c r="K226" s="3"/>
      <c r="L226" s="6"/>
      <c r="M226" s="6"/>
      <c r="N226" s="3"/>
      <c r="O226" s="6"/>
      <c r="P226" s="3"/>
      <c r="Q226" s="6"/>
      <c r="R226" s="6"/>
      <c r="S226" s="3"/>
      <c r="T226" s="6"/>
      <c r="U226" s="3"/>
      <c r="V226" s="6"/>
      <c r="W226" s="6"/>
      <c r="X226" s="3"/>
      <c r="Y226" s="6"/>
      <c r="Z226" s="3"/>
      <c r="AA226" s="6"/>
      <c r="AB226" s="6"/>
      <c r="AC226" s="3"/>
    </row>
    <row r="227" spans="1:29" ht="15.75" customHeight="1" x14ac:dyDescent="0.2">
      <c r="A227" s="2"/>
      <c r="B227" s="2"/>
      <c r="C227" s="2"/>
      <c r="D227" s="14"/>
      <c r="E227" s="6"/>
      <c r="F227" s="3"/>
      <c r="G227" s="6"/>
      <c r="H227" s="6"/>
      <c r="I227" s="3"/>
      <c r="J227" s="6"/>
      <c r="K227" s="3"/>
      <c r="L227" s="6"/>
      <c r="M227" s="6"/>
      <c r="N227" s="3"/>
      <c r="O227" s="6"/>
      <c r="P227" s="3"/>
      <c r="Q227" s="6"/>
      <c r="R227" s="6"/>
      <c r="S227" s="3"/>
      <c r="T227" s="6"/>
      <c r="U227" s="3"/>
      <c r="V227" s="6"/>
      <c r="W227" s="6"/>
      <c r="X227" s="3"/>
      <c r="Y227" s="6"/>
      <c r="Z227" s="3"/>
      <c r="AA227" s="6"/>
      <c r="AB227" s="6"/>
      <c r="AC227" s="3"/>
    </row>
    <row r="228" spans="1:29" ht="15.75" customHeight="1" x14ac:dyDescent="0.2">
      <c r="A228" s="2"/>
      <c r="B228" s="2"/>
      <c r="C228" s="2"/>
      <c r="D228" s="14"/>
      <c r="E228" s="6"/>
      <c r="F228" s="3"/>
      <c r="G228" s="6"/>
      <c r="H228" s="6"/>
      <c r="I228" s="3"/>
      <c r="J228" s="6"/>
      <c r="K228" s="3"/>
      <c r="L228" s="6"/>
      <c r="M228" s="6"/>
      <c r="N228" s="3"/>
      <c r="O228" s="6"/>
      <c r="P228" s="3"/>
      <c r="Q228" s="6"/>
      <c r="R228" s="6"/>
      <c r="S228" s="3"/>
      <c r="T228" s="6"/>
      <c r="U228" s="3"/>
      <c r="V228" s="6"/>
      <c r="W228" s="6"/>
      <c r="X228" s="3"/>
      <c r="Y228" s="6"/>
      <c r="Z228" s="3"/>
      <c r="AA228" s="6"/>
      <c r="AB228" s="6"/>
      <c r="AC228" s="3"/>
    </row>
    <row r="229" spans="1:29" ht="15.75" customHeight="1" x14ac:dyDescent="0.2">
      <c r="A229" s="2"/>
      <c r="B229" s="2"/>
      <c r="C229" s="2"/>
      <c r="D229" s="14"/>
      <c r="E229" s="6"/>
      <c r="F229" s="3"/>
      <c r="G229" s="6"/>
      <c r="H229" s="6"/>
      <c r="I229" s="3"/>
      <c r="J229" s="6"/>
      <c r="K229" s="3"/>
      <c r="L229" s="6"/>
      <c r="M229" s="6"/>
      <c r="N229" s="3"/>
      <c r="O229" s="6"/>
      <c r="P229" s="3"/>
      <c r="Q229" s="6"/>
      <c r="R229" s="6"/>
      <c r="S229" s="3"/>
      <c r="T229" s="6"/>
      <c r="U229" s="3"/>
      <c r="V229" s="6"/>
      <c r="W229" s="6"/>
      <c r="X229" s="3"/>
      <c r="Y229" s="6"/>
      <c r="Z229" s="3"/>
      <c r="AA229" s="6"/>
      <c r="AB229" s="6"/>
      <c r="AC229" s="3"/>
    </row>
    <row r="230" spans="1:29" ht="15.75" customHeight="1" x14ac:dyDescent="0.2">
      <c r="A230" s="2"/>
      <c r="B230" s="2"/>
      <c r="C230" s="2"/>
      <c r="D230" s="14"/>
      <c r="E230" s="6"/>
      <c r="F230" s="3"/>
      <c r="G230" s="6"/>
      <c r="H230" s="6"/>
      <c r="I230" s="3"/>
      <c r="J230" s="6"/>
      <c r="K230" s="3"/>
      <c r="L230" s="6"/>
      <c r="M230" s="6"/>
      <c r="N230" s="3"/>
      <c r="O230" s="6"/>
      <c r="P230" s="3"/>
      <c r="Q230" s="6"/>
      <c r="R230" s="6"/>
      <c r="S230" s="3"/>
      <c r="T230" s="6"/>
      <c r="U230" s="3"/>
      <c r="V230" s="6"/>
      <c r="W230" s="6"/>
      <c r="X230" s="3"/>
      <c r="Y230" s="6"/>
      <c r="Z230" s="3"/>
      <c r="AA230" s="6"/>
      <c r="AB230" s="6"/>
      <c r="AC230" s="3"/>
    </row>
    <row r="231" spans="1:29" ht="15.75" customHeight="1" x14ac:dyDescent="0.2">
      <c r="A231" s="2"/>
      <c r="B231" s="2"/>
      <c r="C231" s="2"/>
      <c r="D231" s="14"/>
      <c r="E231" s="6"/>
      <c r="F231" s="3"/>
      <c r="G231" s="6"/>
      <c r="H231" s="6"/>
      <c r="I231" s="3"/>
      <c r="J231" s="6"/>
      <c r="K231" s="3"/>
      <c r="L231" s="6"/>
      <c r="M231" s="6"/>
      <c r="N231" s="3"/>
      <c r="O231" s="6"/>
      <c r="P231" s="3"/>
      <c r="Q231" s="6"/>
      <c r="R231" s="6"/>
      <c r="S231" s="3"/>
      <c r="T231" s="6"/>
      <c r="U231" s="3"/>
      <c r="V231" s="6"/>
      <c r="W231" s="6"/>
      <c r="X231" s="3"/>
      <c r="Y231" s="6"/>
      <c r="Z231" s="3"/>
      <c r="AA231" s="6"/>
      <c r="AB231" s="6"/>
      <c r="AC231" s="3"/>
    </row>
    <row r="232" spans="1:29" ht="15.75" customHeight="1" x14ac:dyDescent="0.2">
      <c r="A232" s="2"/>
      <c r="B232" s="2"/>
      <c r="C232" s="2"/>
      <c r="D232" s="14"/>
      <c r="E232" s="6"/>
      <c r="F232" s="3"/>
      <c r="G232" s="6"/>
      <c r="H232" s="6"/>
      <c r="I232" s="3"/>
      <c r="J232" s="6"/>
      <c r="K232" s="3"/>
      <c r="L232" s="6"/>
      <c r="M232" s="6"/>
      <c r="N232" s="3"/>
      <c r="O232" s="6"/>
      <c r="P232" s="3"/>
      <c r="Q232" s="6"/>
      <c r="R232" s="6"/>
      <c r="S232" s="3"/>
      <c r="T232" s="6"/>
      <c r="U232" s="3"/>
      <c r="V232" s="6"/>
      <c r="W232" s="6"/>
      <c r="X232" s="3"/>
      <c r="Y232" s="6"/>
      <c r="Z232" s="3"/>
      <c r="AA232" s="6"/>
      <c r="AB232" s="6"/>
      <c r="AC232" s="3"/>
    </row>
    <row r="233" spans="1:29" ht="15.75" customHeight="1" x14ac:dyDescent="0.2">
      <c r="A233" s="2"/>
      <c r="B233" s="2"/>
      <c r="C233" s="2"/>
      <c r="D233" s="14"/>
      <c r="E233" s="6"/>
      <c r="F233" s="3"/>
      <c r="G233" s="6"/>
      <c r="H233" s="6"/>
      <c r="I233" s="3"/>
      <c r="J233" s="6"/>
      <c r="K233" s="3"/>
      <c r="L233" s="6"/>
      <c r="M233" s="6"/>
      <c r="N233" s="3"/>
      <c r="O233" s="6"/>
      <c r="P233" s="3"/>
      <c r="Q233" s="6"/>
      <c r="R233" s="6"/>
      <c r="S233" s="3"/>
      <c r="T233" s="6"/>
      <c r="U233" s="3"/>
      <c r="V233" s="6"/>
      <c r="W233" s="6"/>
      <c r="X233" s="3"/>
      <c r="Y233" s="6"/>
      <c r="Z233" s="3"/>
      <c r="AA233" s="6"/>
      <c r="AB233" s="6"/>
      <c r="AC233" s="3"/>
    </row>
    <row r="234" spans="1:29" ht="15.75" customHeight="1" x14ac:dyDescent="0.2">
      <c r="A234" s="2"/>
      <c r="B234" s="2"/>
      <c r="C234" s="2"/>
      <c r="D234" s="14"/>
      <c r="E234" s="6"/>
      <c r="F234" s="3"/>
      <c r="G234" s="6"/>
      <c r="H234" s="6"/>
      <c r="I234" s="3"/>
      <c r="J234" s="6"/>
      <c r="K234" s="3"/>
      <c r="L234" s="6"/>
      <c r="M234" s="6"/>
      <c r="N234" s="3"/>
      <c r="O234" s="6"/>
      <c r="P234" s="3"/>
      <c r="Q234" s="6"/>
      <c r="R234" s="6"/>
      <c r="S234" s="3"/>
      <c r="T234" s="6"/>
      <c r="U234" s="3"/>
      <c r="V234" s="6"/>
      <c r="W234" s="6"/>
      <c r="X234" s="3"/>
      <c r="Y234" s="6"/>
      <c r="Z234" s="3"/>
      <c r="AA234" s="6"/>
      <c r="AB234" s="6"/>
      <c r="AC234" s="3"/>
    </row>
    <row r="235" spans="1:29" ht="15.75" customHeight="1" x14ac:dyDescent="0.2">
      <c r="A235" s="2"/>
      <c r="B235" s="2"/>
      <c r="C235" s="2"/>
      <c r="D235" s="14"/>
      <c r="E235" s="6"/>
      <c r="F235" s="3"/>
      <c r="G235" s="6"/>
      <c r="H235" s="6"/>
      <c r="I235" s="3"/>
      <c r="J235" s="6"/>
      <c r="K235" s="3"/>
      <c r="L235" s="6"/>
      <c r="M235" s="6"/>
      <c r="N235" s="3"/>
      <c r="O235" s="6"/>
      <c r="P235" s="3"/>
      <c r="Q235" s="6"/>
      <c r="R235" s="6"/>
      <c r="S235" s="3"/>
      <c r="T235" s="6"/>
      <c r="U235" s="3"/>
      <c r="V235" s="6"/>
      <c r="W235" s="6"/>
      <c r="X235" s="3"/>
      <c r="Y235" s="6"/>
      <c r="Z235" s="3"/>
      <c r="AA235" s="6"/>
      <c r="AB235" s="6"/>
      <c r="AC235" s="3"/>
    </row>
    <row r="236" spans="1:29" ht="15.75" customHeight="1" x14ac:dyDescent="0.2">
      <c r="A236" s="2"/>
      <c r="B236" s="2"/>
      <c r="C236" s="2"/>
      <c r="D236" s="14"/>
      <c r="E236" s="6"/>
      <c r="F236" s="3"/>
      <c r="G236" s="6"/>
      <c r="H236" s="6"/>
      <c r="I236" s="3"/>
      <c r="J236" s="6"/>
      <c r="K236" s="3"/>
      <c r="L236" s="6"/>
      <c r="M236" s="6"/>
      <c r="N236" s="3"/>
      <c r="O236" s="6"/>
      <c r="P236" s="3"/>
      <c r="Q236" s="6"/>
      <c r="R236" s="6"/>
      <c r="S236" s="3"/>
      <c r="T236" s="6"/>
      <c r="U236" s="3"/>
      <c r="V236" s="6"/>
      <c r="W236" s="6"/>
      <c r="X236" s="3"/>
      <c r="Y236" s="6"/>
      <c r="Z236" s="3"/>
      <c r="AA236" s="6"/>
      <c r="AB236" s="6"/>
      <c r="AC236" s="3"/>
    </row>
    <row r="237" spans="1:29" ht="15.75" customHeight="1" x14ac:dyDescent="0.2">
      <c r="A237" s="2"/>
      <c r="B237" s="2"/>
      <c r="C237" s="2"/>
      <c r="D237" s="14"/>
      <c r="E237" s="6"/>
      <c r="F237" s="3"/>
      <c r="G237" s="6"/>
      <c r="H237" s="6"/>
      <c r="I237" s="3"/>
      <c r="J237" s="6"/>
      <c r="K237" s="3"/>
      <c r="L237" s="6"/>
      <c r="M237" s="6"/>
      <c r="N237" s="3"/>
      <c r="O237" s="6"/>
      <c r="P237" s="3"/>
      <c r="Q237" s="6"/>
      <c r="R237" s="6"/>
      <c r="S237" s="3"/>
      <c r="T237" s="6"/>
      <c r="U237" s="3"/>
      <c r="V237" s="6"/>
      <c r="W237" s="6"/>
      <c r="X237" s="3"/>
      <c r="Y237" s="6"/>
      <c r="Z237" s="3"/>
      <c r="AA237" s="6"/>
      <c r="AB237" s="6"/>
      <c r="AC237" s="3"/>
    </row>
    <row r="238" spans="1:29" ht="15.75" customHeight="1" x14ac:dyDescent="0.2">
      <c r="A238" s="2"/>
      <c r="B238" s="2"/>
      <c r="C238" s="2"/>
      <c r="D238" s="14"/>
      <c r="E238" s="6"/>
      <c r="F238" s="3"/>
      <c r="G238" s="6"/>
      <c r="H238" s="6"/>
      <c r="I238" s="3"/>
      <c r="J238" s="6"/>
      <c r="K238" s="3"/>
      <c r="L238" s="6"/>
      <c r="M238" s="6"/>
      <c r="N238" s="3"/>
      <c r="O238" s="6"/>
      <c r="P238" s="3"/>
      <c r="Q238" s="6"/>
      <c r="R238" s="6"/>
      <c r="S238" s="3"/>
      <c r="T238" s="6"/>
      <c r="U238" s="3"/>
      <c r="V238" s="6"/>
      <c r="W238" s="6"/>
      <c r="X238" s="3"/>
      <c r="Y238" s="6"/>
      <c r="Z238" s="3"/>
      <c r="AA238" s="6"/>
      <c r="AB238" s="6"/>
      <c r="AC238" s="3"/>
    </row>
    <row r="239" spans="1:29" ht="15.75" customHeight="1" x14ac:dyDescent="0.2">
      <c r="A239" s="2"/>
      <c r="B239" s="2"/>
      <c r="C239" s="2"/>
      <c r="D239" s="14"/>
      <c r="E239" s="6"/>
      <c r="F239" s="3"/>
      <c r="G239" s="6"/>
      <c r="H239" s="6"/>
      <c r="I239" s="3"/>
      <c r="J239" s="6"/>
      <c r="K239" s="3"/>
      <c r="L239" s="6"/>
      <c r="M239" s="6"/>
      <c r="N239" s="3"/>
      <c r="O239" s="6"/>
      <c r="P239" s="3"/>
      <c r="Q239" s="6"/>
      <c r="R239" s="6"/>
      <c r="S239" s="3"/>
      <c r="T239" s="6"/>
      <c r="U239" s="3"/>
      <c r="V239" s="6"/>
      <c r="W239" s="6"/>
      <c r="X239" s="3"/>
      <c r="Y239" s="6"/>
      <c r="Z239" s="3"/>
      <c r="AA239" s="6"/>
      <c r="AB239" s="6"/>
      <c r="AC239" s="3"/>
    </row>
    <row r="240" spans="1:29" ht="15.75" customHeight="1" x14ac:dyDescent="0.2">
      <c r="A240" s="2"/>
      <c r="B240" s="2"/>
      <c r="C240" s="2"/>
      <c r="D240" s="14"/>
      <c r="E240" s="6"/>
      <c r="F240" s="3"/>
      <c r="G240" s="6"/>
      <c r="H240" s="6"/>
      <c r="I240" s="3"/>
      <c r="J240" s="6"/>
      <c r="K240" s="3"/>
      <c r="L240" s="6"/>
      <c r="M240" s="6"/>
      <c r="N240" s="3"/>
      <c r="O240" s="6"/>
      <c r="P240" s="3"/>
      <c r="Q240" s="6"/>
      <c r="R240" s="6"/>
      <c r="S240" s="3"/>
      <c r="T240" s="6"/>
      <c r="U240" s="3"/>
      <c r="V240" s="6"/>
      <c r="W240" s="6"/>
      <c r="X240" s="3"/>
      <c r="Y240" s="6"/>
      <c r="Z240" s="3"/>
      <c r="AA240" s="6"/>
      <c r="AB240" s="6"/>
      <c r="AC240" s="3"/>
    </row>
    <row r="241" spans="1:29" ht="15.75" customHeight="1" x14ac:dyDescent="0.2">
      <c r="A241" s="2"/>
      <c r="B241" s="2"/>
      <c r="C241" s="2"/>
      <c r="D241" s="14"/>
      <c r="E241" s="6"/>
      <c r="F241" s="3"/>
      <c r="G241" s="6"/>
      <c r="H241" s="6"/>
      <c r="I241" s="3"/>
      <c r="J241" s="6"/>
      <c r="K241" s="3"/>
      <c r="L241" s="6"/>
      <c r="M241" s="6"/>
      <c r="N241" s="3"/>
      <c r="O241" s="6"/>
      <c r="P241" s="3"/>
      <c r="Q241" s="6"/>
      <c r="R241" s="6"/>
      <c r="S241" s="3"/>
      <c r="T241" s="6"/>
      <c r="U241" s="3"/>
      <c r="V241" s="6"/>
      <c r="W241" s="6"/>
      <c r="X241" s="3"/>
      <c r="Y241" s="6"/>
      <c r="Z241" s="3"/>
      <c r="AA241" s="6"/>
      <c r="AB241" s="6"/>
      <c r="AC241" s="3"/>
    </row>
    <row r="242" spans="1:29" ht="15.75" customHeight="1" x14ac:dyDescent="0.2">
      <c r="A242" s="2"/>
      <c r="B242" s="2"/>
      <c r="C242" s="2"/>
      <c r="D242" s="14"/>
      <c r="E242" s="6"/>
      <c r="F242" s="3"/>
      <c r="G242" s="6"/>
      <c r="H242" s="6"/>
      <c r="I242" s="3"/>
      <c r="J242" s="6"/>
      <c r="K242" s="3"/>
      <c r="L242" s="6"/>
      <c r="M242" s="6"/>
      <c r="N242" s="3"/>
      <c r="O242" s="6"/>
      <c r="P242" s="3"/>
      <c r="Q242" s="6"/>
      <c r="R242" s="6"/>
      <c r="S242" s="3"/>
      <c r="T242" s="6"/>
      <c r="U242" s="3"/>
      <c r="V242" s="6"/>
      <c r="W242" s="6"/>
      <c r="X242" s="3"/>
      <c r="Y242" s="6"/>
      <c r="Z242" s="3"/>
      <c r="AA242" s="6"/>
      <c r="AB242" s="6"/>
      <c r="AC242" s="3"/>
    </row>
    <row r="243" spans="1:29" ht="15.75" customHeight="1" x14ac:dyDescent="0.2">
      <c r="A243" s="2"/>
      <c r="B243" s="2"/>
      <c r="C243" s="2"/>
      <c r="D243" s="14"/>
      <c r="E243" s="6"/>
      <c r="F243" s="3"/>
      <c r="G243" s="6"/>
      <c r="H243" s="6"/>
      <c r="I243" s="3"/>
      <c r="J243" s="6"/>
      <c r="K243" s="3"/>
      <c r="L243" s="6"/>
      <c r="M243" s="6"/>
      <c r="N243" s="3"/>
      <c r="O243" s="6"/>
      <c r="P243" s="3"/>
      <c r="Q243" s="6"/>
      <c r="R243" s="6"/>
      <c r="S243" s="3"/>
      <c r="T243" s="6"/>
      <c r="U243" s="3"/>
      <c r="V243" s="6"/>
      <c r="W243" s="6"/>
      <c r="X243" s="3"/>
      <c r="Y243" s="6"/>
      <c r="Z243" s="3"/>
      <c r="AA243" s="6"/>
      <c r="AB243" s="6"/>
      <c r="AC243" s="3"/>
    </row>
    <row r="244" spans="1:29" ht="15.75" customHeight="1" x14ac:dyDescent="0.2">
      <c r="A244" s="2"/>
      <c r="B244" s="2"/>
      <c r="C244" s="2"/>
      <c r="D244" s="14"/>
      <c r="E244" s="6"/>
      <c r="F244" s="3"/>
      <c r="G244" s="6"/>
      <c r="H244" s="6"/>
      <c r="I244" s="3"/>
      <c r="J244" s="6"/>
      <c r="K244" s="3"/>
      <c r="L244" s="6"/>
      <c r="M244" s="6"/>
      <c r="N244" s="3"/>
      <c r="O244" s="6"/>
      <c r="P244" s="3"/>
      <c r="Q244" s="6"/>
      <c r="R244" s="6"/>
      <c r="S244" s="3"/>
      <c r="T244" s="6"/>
      <c r="U244" s="3"/>
      <c r="V244" s="6"/>
      <c r="W244" s="6"/>
      <c r="X244" s="3"/>
      <c r="Y244" s="6"/>
      <c r="Z244" s="3"/>
      <c r="AA244" s="6"/>
      <c r="AB244" s="6"/>
      <c r="AC244" s="3"/>
    </row>
    <row r="245" spans="1:29" ht="15.75" customHeight="1" x14ac:dyDescent="0.2">
      <c r="A245" s="2"/>
      <c r="B245" s="2"/>
      <c r="C245" s="2"/>
      <c r="D245" s="14"/>
      <c r="E245" s="6"/>
      <c r="F245" s="3"/>
      <c r="G245" s="6"/>
      <c r="H245" s="6"/>
      <c r="I245" s="3"/>
      <c r="J245" s="6"/>
      <c r="K245" s="3"/>
      <c r="L245" s="6"/>
      <c r="M245" s="6"/>
      <c r="N245" s="3"/>
      <c r="O245" s="6"/>
      <c r="P245" s="3"/>
      <c r="Q245" s="6"/>
      <c r="R245" s="6"/>
      <c r="S245" s="3"/>
      <c r="T245" s="6"/>
      <c r="U245" s="3"/>
      <c r="V245" s="6"/>
      <c r="W245" s="6"/>
      <c r="X245" s="3"/>
      <c r="Y245" s="6"/>
      <c r="Z245" s="3"/>
      <c r="AA245" s="6"/>
      <c r="AB245" s="6"/>
      <c r="AC245" s="3"/>
    </row>
    <row r="246" spans="1:29" ht="15.75" customHeight="1" x14ac:dyDescent="0.2">
      <c r="A246" s="2"/>
      <c r="B246" s="2"/>
      <c r="C246" s="2"/>
      <c r="D246" s="14"/>
      <c r="E246" s="6"/>
      <c r="F246" s="3"/>
      <c r="G246" s="6"/>
      <c r="H246" s="6"/>
      <c r="I246" s="3"/>
      <c r="J246" s="6"/>
      <c r="K246" s="3"/>
      <c r="L246" s="6"/>
      <c r="M246" s="6"/>
      <c r="N246" s="3"/>
      <c r="O246" s="6"/>
      <c r="P246" s="3"/>
      <c r="Q246" s="6"/>
      <c r="R246" s="6"/>
      <c r="S246" s="3"/>
      <c r="T246" s="6"/>
      <c r="U246" s="3"/>
      <c r="V246" s="6"/>
      <c r="W246" s="6"/>
      <c r="X246" s="3"/>
      <c r="Y246" s="6"/>
      <c r="Z246" s="3"/>
      <c r="AA246" s="6"/>
      <c r="AB246" s="6"/>
      <c r="AC246" s="3"/>
    </row>
    <row r="247" spans="1:29" ht="15.75" customHeight="1" x14ac:dyDescent="0.2">
      <c r="A247" s="2"/>
      <c r="B247" s="2"/>
      <c r="C247" s="2"/>
      <c r="D247" s="14"/>
      <c r="E247" s="6"/>
      <c r="F247" s="3"/>
      <c r="G247" s="6"/>
      <c r="H247" s="6"/>
      <c r="I247" s="3"/>
      <c r="J247" s="6"/>
      <c r="K247" s="3"/>
      <c r="L247" s="6"/>
      <c r="M247" s="6"/>
      <c r="N247" s="3"/>
      <c r="O247" s="6"/>
      <c r="P247" s="3"/>
      <c r="Q247" s="6"/>
      <c r="R247" s="6"/>
      <c r="S247" s="3"/>
      <c r="T247" s="6"/>
      <c r="U247" s="3"/>
      <c r="V247" s="6"/>
      <c r="W247" s="6"/>
      <c r="X247" s="3"/>
      <c r="Y247" s="6"/>
      <c r="Z247" s="3"/>
      <c r="AA247" s="6"/>
      <c r="AB247" s="6"/>
      <c r="AC247" s="3"/>
    </row>
    <row r="248" spans="1:29" ht="15.75" customHeight="1" x14ac:dyDescent="0.2">
      <c r="A248" s="2"/>
      <c r="B248" s="2"/>
      <c r="C248" s="2"/>
      <c r="D248" s="14"/>
      <c r="E248" s="6"/>
      <c r="F248" s="3"/>
      <c r="G248" s="6"/>
      <c r="H248" s="6"/>
      <c r="I248" s="3"/>
      <c r="J248" s="6"/>
      <c r="K248" s="3"/>
      <c r="L248" s="6"/>
      <c r="M248" s="6"/>
      <c r="N248" s="3"/>
      <c r="O248" s="6"/>
      <c r="P248" s="3"/>
      <c r="Q248" s="6"/>
      <c r="R248" s="6"/>
      <c r="S248" s="3"/>
      <c r="T248" s="6"/>
      <c r="U248" s="3"/>
      <c r="V248" s="6"/>
      <c r="W248" s="6"/>
      <c r="X248" s="3"/>
      <c r="Y248" s="6"/>
      <c r="Z248" s="3"/>
      <c r="AA248" s="6"/>
      <c r="AB248" s="6"/>
      <c r="AC248" s="3"/>
    </row>
    <row r="249" spans="1:29" ht="15.75" customHeight="1" x14ac:dyDescent="0.2">
      <c r="A249" s="2"/>
      <c r="B249" s="2"/>
      <c r="C249" s="2"/>
      <c r="D249" s="14"/>
      <c r="E249" s="6"/>
      <c r="F249" s="3"/>
      <c r="G249" s="6"/>
      <c r="H249" s="6"/>
      <c r="I249" s="3"/>
      <c r="J249" s="6"/>
      <c r="K249" s="3"/>
      <c r="L249" s="6"/>
      <c r="M249" s="6"/>
      <c r="N249" s="3"/>
      <c r="O249" s="6"/>
      <c r="P249" s="3"/>
      <c r="Q249" s="6"/>
      <c r="R249" s="6"/>
      <c r="S249" s="3"/>
      <c r="T249" s="6"/>
      <c r="U249" s="3"/>
      <c r="V249" s="6"/>
      <c r="W249" s="6"/>
      <c r="X249" s="3"/>
      <c r="Y249" s="6"/>
      <c r="Z249" s="3"/>
      <c r="AA249" s="6"/>
      <c r="AB249" s="6"/>
      <c r="AC249" s="3"/>
    </row>
    <row r="250" spans="1:29" ht="15.75" customHeight="1" x14ac:dyDescent="0.2">
      <c r="A250" s="2"/>
      <c r="B250" s="2"/>
      <c r="C250" s="2"/>
      <c r="D250" s="14"/>
      <c r="E250" s="6"/>
      <c r="F250" s="3"/>
      <c r="G250" s="6"/>
      <c r="H250" s="6"/>
      <c r="I250" s="3"/>
      <c r="J250" s="6"/>
      <c r="K250" s="3"/>
      <c r="L250" s="6"/>
      <c r="M250" s="6"/>
      <c r="N250" s="3"/>
      <c r="O250" s="6"/>
      <c r="P250" s="3"/>
      <c r="Q250" s="6"/>
      <c r="R250" s="6"/>
      <c r="S250" s="3"/>
      <c r="T250" s="6"/>
      <c r="U250" s="3"/>
      <c r="V250" s="6"/>
      <c r="W250" s="6"/>
      <c r="X250" s="3"/>
      <c r="Y250" s="6"/>
      <c r="Z250" s="3"/>
      <c r="AA250" s="6"/>
      <c r="AB250" s="6"/>
      <c r="AC250" s="3"/>
    </row>
    <row r="251" spans="1:29" ht="15.75" customHeight="1" x14ac:dyDescent="0.2">
      <c r="A251" s="2"/>
      <c r="B251" s="2"/>
      <c r="C251" s="2"/>
      <c r="D251" s="14"/>
      <c r="E251" s="6"/>
      <c r="F251" s="3"/>
      <c r="G251" s="6"/>
      <c r="H251" s="6"/>
      <c r="I251" s="3"/>
      <c r="J251" s="6"/>
      <c r="K251" s="3"/>
      <c r="L251" s="6"/>
      <c r="M251" s="6"/>
      <c r="N251" s="3"/>
      <c r="O251" s="6"/>
      <c r="P251" s="3"/>
      <c r="Q251" s="6"/>
      <c r="R251" s="6"/>
      <c r="S251" s="3"/>
      <c r="T251" s="6"/>
      <c r="U251" s="3"/>
      <c r="V251" s="6"/>
      <c r="W251" s="6"/>
      <c r="X251" s="3"/>
      <c r="Y251" s="6"/>
      <c r="Z251" s="3"/>
      <c r="AA251" s="6"/>
      <c r="AB251" s="6"/>
      <c r="AC251" s="3"/>
    </row>
    <row r="252" spans="1:29" ht="15.75" customHeight="1" x14ac:dyDescent="0.2">
      <c r="A252" s="2"/>
      <c r="B252" s="2"/>
      <c r="C252" s="2"/>
      <c r="D252" s="14"/>
      <c r="E252" s="6"/>
      <c r="F252" s="3"/>
      <c r="G252" s="6"/>
      <c r="H252" s="6"/>
      <c r="I252" s="3"/>
      <c r="J252" s="6"/>
      <c r="K252" s="3"/>
      <c r="L252" s="6"/>
      <c r="M252" s="6"/>
      <c r="N252" s="3"/>
      <c r="O252" s="6"/>
      <c r="P252" s="3"/>
      <c r="Q252" s="6"/>
      <c r="R252" s="6"/>
      <c r="S252" s="3"/>
      <c r="T252" s="6"/>
      <c r="U252" s="3"/>
      <c r="V252" s="6"/>
      <c r="W252" s="6"/>
      <c r="X252" s="3"/>
      <c r="Y252" s="6"/>
      <c r="Z252" s="3"/>
      <c r="AA252" s="6"/>
      <c r="AB252" s="6"/>
      <c r="AC252" s="3"/>
    </row>
    <row r="253" spans="1:29" ht="15.75" customHeight="1" x14ac:dyDescent="0.2">
      <c r="A253" s="2"/>
      <c r="B253" s="2"/>
      <c r="C253" s="2"/>
      <c r="D253" s="14"/>
      <c r="E253" s="6"/>
      <c r="F253" s="3"/>
      <c r="G253" s="6"/>
      <c r="H253" s="6"/>
      <c r="I253" s="3"/>
      <c r="J253" s="6"/>
      <c r="K253" s="3"/>
      <c r="L253" s="6"/>
      <c r="M253" s="6"/>
      <c r="N253" s="3"/>
      <c r="O253" s="6"/>
      <c r="P253" s="3"/>
      <c r="Q253" s="6"/>
      <c r="R253" s="6"/>
      <c r="S253" s="3"/>
      <c r="T253" s="6"/>
      <c r="U253" s="3"/>
      <c r="V253" s="6"/>
      <c r="W253" s="6"/>
      <c r="X253" s="3"/>
      <c r="Y253" s="6"/>
      <c r="Z253" s="3"/>
      <c r="AA253" s="6"/>
      <c r="AB253" s="6"/>
      <c r="AC253" s="3"/>
    </row>
    <row r="254" spans="1:29" ht="15.75" customHeight="1" x14ac:dyDescent="0.2">
      <c r="A254" s="2"/>
      <c r="B254" s="2"/>
      <c r="C254" s="2"/>
      <c r="D254" s="14"/>
      <c r="E254" s="6"/>
      <c r="F254" s="3"/>
      <c r="G254" s="6"/>
      <c r="H254" s="6"/>
      <c r="I254" s="3"/>
      <c r="J254" s="6"/>
      <c r="K254" s="3"/>
      <c r="L254" s="6"/>
      <c r="M254" s="6"/>
      <c r="N254" s="3"/>
      <c r="O254" s="6"/>
      <c r="P254" s="3"/>
      <c r="Q254" s="6"/>
      <c r="R254" s="6"/>
      <c r="S254" s="3"/>
      <c r="T254" s="6"/>
      <c r="U254" s="3"/>
      <c r="V254" s="6"/>
      <c r="W254" s="6"/>
      <c r="X254" s="3"/>
      <c r="Y254" s="6"/>
      <c r="Z254" s="3"/>
      <c r="AA254" s="6"/>
      <c r="AB254" s="6"/>
      <c r="AC254" s="3"/>
    </row>
    <row r="255" spans="1:29" ht="15.75" customHeight="1" x14ac:dyDescent="0.2">
      <c r="A255" s="2"/>
      <c r="B255" s="2"/>
      <c r="C255" s="2"/>
      <c r="D255" s="14"/>
      <c r="E255" s="6"/>
      <c r="F255" s="3"/>
      <c r="G255" s="6"/>
      <c r="H255" s="6"/>
      <c r="I255" s="3"/>
      <c r="J255" s="6"/>
      <c r="K255" s="3"/>
      <c r="L255" s="6"/>
      <c r="M255" s="6"/>
      <c r="N255" s="3"/>
      <c r="O255" s="6"/>
      <c r="P255" s="3"/>
      <c r="Q255" s="6"/>
      <c r="R255" s="6"/>
      <c r="S255" s="3"/>
      <c r="T255" s="6"/>
      <c r="U255" s="3"/>
      <c r="V255" s="6"/>
      <c r="W255" s="6"/>
      <c r="X255" s="3"/>
      <c r="Y255" s="6"/>
      <c r="Z255" s="3"/>
      <c r="AA255" s="6"/>
      <c r="AB255" s="6"/>
      <c r="AC255" s="3"/>
    </row>
    <row r="256" spans="1:29" ht="15.75" customHeight="1" x14ac:dyDescent="0.2">
      <c r="A256" s="2"/>
      <c r="B256" s="2"/>
      <c r="C256" s="2"/>
      <c r="D256" s="14"/>
      <c r="E256" s="6"/>
      <c r="F256" s="3"/>
      <c r="G256" s="6"/>
      <c r="H256" s="6"/>
      <c r="I256" s="3"/>
      <c r="J256" s="6"/>
      <c r="K256" s="3"/>
      <c r="L256" s="6"/>
      <c r="M256" s="6"/>
      <c r="N256" s="3"/>
      <c r="O256" s="6"/>
      <c r="P256" s="3"/>
      <c r="Q256" s="6"/>
      <c r="R256" s="6"/>
      <c r="S256" s="3"/>
      <c r="T256" s="6"/>
      <c r="U256" s="3"/>
      <c r="V256" s="6"/>
      <c r="W256" s="6"/>
      <c r="X256" s="3"/>
      <c r="Y256" s="6"/>
      <c r="Z256" s="3"/>
      <c r="AA256" s="6"/>
      <c r="AB256" s="6"/>
      <c r="AC256" s="3"/>
    </row>
    <row r="257" spans="1:29" ht="15.75" customHeight="1" x14ac:dyDescent="0.2">
      <c r="A257" s="2"/>
      <c r="B257" s="2"/>
      <c r="C257" s="2"/>
      <c r="D257" s="14"/>
      <c r="E257" s="6"/>
      <c r="F257" s="3"/>
      <c r="G257" s="6"/>
      <c r="H257" s="6"/>
      <c r="I257" s="3"/>
      <c r="J257" s="6"/>
      <c r="K257" s="3"/>
      <c r="L257" s="6"/>
      <c r="M257" s="6"/>
      <c r="N257" s="3"/>
      <c r="O257" s="6"/>
      <c r="P257" s="3"/>
      <c r="Q257" s="6"/>
      <c r="R257" s="6"/>
      <c r="S257" s="3"/>
      <c r="T257" s="6"/>
      <c r="U257" s="3"/>
      <c r="V257" s="6"/>
      <c r="W257" s="6"/>
      <c r="X257" s="3"/>
      <c r="Y257" s="6"/>
      <c r="Z257" s="3"/>
      <c r="AA257" s="6"/>
      <c r="AB257" s="6"/>
      <c r="AC257" s="3"/>
    </row>
    <row r="258" spans="1:29" ht="15.75" customHeight="1" x14ac:dyDescent="0.2">
      <c r="A258" s="2"/>
      <c r="B258" s="2"/>
      <c r="C258" s="2"/>
      <c r="D258" s="14"/>
      <c r="E258" s="6"/>
      <c r="F258" s="3"/>
      <c r="G258" s="6"/>
      <c r="H258" s="6"/>
      <c r="I258" s="3"/>
      <c r="J258" s="6"/>
      <c r="K258" s="3"/>
      <c r="L258" s="6"/>
      <c r="M258" s="6"/>
      <c r="N258" s="3"/>
      <c r="O258" s="6"/>
      <c r="P258" s="3"/>
      <c r="Q258" s="6"/>
      <c r="R258" s="6"/>
      <c r="S258" s="3"/>
      <c r="T258" s="6"/>
      <c r="U258" s="3"/>
      <c r="V258" s="6"/>
      <c r="W258" s="6"/>
      <c r="X258" s="3"/>
      <c r="Y258" s="6"/>
      <c r="Z258" s="3"/>
      <c r="AA258" s="6"/>
      <c r="AB258" s="6"/>
      <c r="AC258" s="3"/>
    </row>
    <row r="259" spans="1:29" ht="15.75" customHeight="1" x14ac:dyDescent="0.2">
      <c r="A259" s="2"/>
      <c r="B259" s="2"/>
      <c r="C259" s="2"/>
      <c r="D259" s="14"/>
      <c r="E259" s="6"/>
      <c r="F259" s="3"/>
      <c r="G259" s="6"/>
      <c r="H259" s="6"/>
      <c r="I259" s="3"/>
      <c r="J259" s="6"/>
      <c r="K259" s="3"/>
      <c r="L259" s="6"/>
      <c r="M259" s="6"/>
      <c r="N259" s="3"/>
      <c r="O259" s="6"/>
      <c r="P259" s="3"/>
      <c r="Q259" s="6"/>
      <c r="R259" s="6"/>
      <c r="S259" s="3"/>
      <c r="T259" s="6"/>
      <c r="U259" s="3"/>
      <c r="V259" s="6"/>
      <c r="W259" s="6"/>
      <c r="X259" s="3"/>
      <c r="Y259" s="6"/>
      <c r="Z259" s="3"/>
      <c r="AA259" s="6"/>
      <c r="AB259" s="6"/>
      <c r="AC259" s="3"/>
    </row>
    <row r="260" spans="1:29" ht="15.75" customHeight="1" x14ac:dyDescent="0.2">
      <c r="A260" s="2"/>
      <c r="B260" s="2"/>
      <c r="C260" s="2"/>
      <c r="D260" s="14"/>
      <c r="E260" s="6"/>
      <c r="F260" s="3"/>
      <c r="G260" s="6"/>
      <c r="H260" s="6"/>
      <c r="I260" s="3"/>
      <c r="J260" s="6"/>
      <c r="K260" s="3"/>
      <c r="L260" s="6"/>
      <c r="M260" s="6"/>
      <c r="N260" s="3"/>
      <c r="O260" s="6"/>
      <c r="P260" s="3"/>
      <c r="Q260" s="6"/>
      <c r="R260" s="6"/>
      <c r="S260" s="3"/>
      <c r="T260" s="6"/>
      <c r="U260" s="3"/>
      <c r="V260" s="6"/>
      <c r="W260" s="6"/>
      <c r="X260" s="3"/>
      <c r="Y260" s="6"/>
      <c r="Z260" s="3"/>
      <c r="AA260" s="6"/>
      <c r="AB260" s="6"/>
      <c r="AC260" s="3"/>
    </row>
    <row r="261" spans="1:29" ht="15.75" customHeight="1" x14ac:dyDescent="0.2">
      <c r="A261" s="2"/>
      <c r="B261" s="2"/>
      <c r="C261" s="2"/>
      <c r="D261" s="14"/>
      <c r="E261" s="6"/>
      <c r="F261" s="3"/>
      <c r="G261" s="6"/>
      <c r="H261" s="6"/>
      <c r="I261" s="3"/>
      <c r="J261" s="6"/>
      <c r="K261" s="3"/>
      <c r="L261" s="6"/>
      <c r="M261" s="6"/>
      <c r="N261" s="3"/>
      <c r="O261" s="6"/>
      <c r="P261" s="3"/>
      <c r="Q261" s="6"/>
      <c r="R261" s="6"/>
      <c r="S261" s="3"/>
      <c r="T261" s="6"/>
      <c r="U261" s="3"/>
      <c r="V261" s="6"/>
      <c r="W261" s="6"/>
      <c r="X261" s="3"/>
      <c r="Y261" s="6"/>
      <c r="Z261" s="3"/>
      <c r="AA261" s="6"/>
      <c r="AB261" s="6"/>
      <c r="AC261" s="3"/>
    </row>
    <row r="262" spans="1:29" ht="15.75" customHeight="1" x14ac:dyDescent="0.2">
      <c r="A262" s="2"/>
      <c r="B262" s="2"/>
      <c r="C262" s="2"/>
      <c r="D262" s="14"/>
      <c r="E262" s="6"/>
      <c r="F262" s="3"/>
      <c r="G262" s="6"/>
      <c r="H262" s="6"/>
      <c r="I262" s="3"/>
      <c r="J262" s="6"/>
      <c r="K262" s="3"/>
      <c r="L262" s="6"/>
      <c r="M262" s="6"/>
      <c r="N262" s="3"/>
      <c r="O262" s="6"/>
      <c r="P262" s="3"/>
      <c r="Q262" s="6"/>
      <c r="R262" s="6"/>
      <c r="S262" s="3"/>
      <c r="T262" s="6"/>
      <c r="U262" s="3"/>
      <c r="V262" s="6"/>
      <c r="W262" s="6"/>
      <c r="X262" s="3"/>
      <c r="Y262" s="6"/>
      <c r="Z262" s="3"/>
      <c r="AA262" s="6"/>
      <c r="AB262" s="6"/>
      <c r="AC262" s="3"/>
    </row>
    <row r="263" spans="1:29" ht="15.75" customHeight="1" x14ac:dyDescent="0.2">
      <c r="A263" s="2"/>
      <c r="B263" s="2"/>
      <c r="C263" s="2"/>
      <c r="D263" s="14"/>
      <c r="E263" s="6"/>
      <c r="F263" s="3"/>
      <c r="G263" s="6"/>
      <c r="H263" s="6"/>
      <c r="I263" s="3"/>
      <c r="J263" s="6"/>
      <c r="K263" s="3"/>
      <c r="L263" s="6"/>
      <c r="M263" s="6"/>
      <c r="N263" s="3"/>
      <c r="O263" s="6"/>
      <c r="P263" s="3"/>
      <c r="Q263" s="6"/>
      <c r="R263" s="6"/>
      <c r="S263" s="3"/>
      <c r="T263" s="6"/>
      <c r="U263" s="3"/>
      <c r="V263" s="6"/>
      <c r="W263" s="6"/>
      <c r="X263" s="3"/>
      <c r="Y263" s="6"/>
      <c r="Z263" s="3"/>
      <c r="AA263" s="6"/>
      <c r="AB263" s="6"/>
      <c r="AC263" s="3"/>
    </row>
    <row r="264" spans="1:29" ht="15.75" customHeight="1" x14ac:dyDescent="0.2">
      <c r="A264" s="2"/>
      <c r="B264" s="2"/>
      <c r="C264" s="2"/>
      <c r="D264" s="14"/>
      <c r="E264" s="6"/>
      <c r="F264" s="3"/>
      <c r="G264" s="6"/>
      <c r="H264" s="6"/>
      <c r="I264" s="3"/>
      <c r="J264" s="6"/>
      <c r="K264" s="3"/>
      <c r="L264" s="6"/>
      <c r="M264" s="6"/>
      <c r="N264" s="3"/>
      <c r="O264" s="6"/>
      <c r="P264" s="3"/>
      <c r="Q264" s="6"/>
      <c r="R264" s="6"/>
      <c r="S264" s="3"/>
      <c r="T264" s="6"/>
      <c r="U264" s="3"/>
      <c r="V264" s="6"/>
      <c r="W264" s="6"/>
      <c r="X264" s="3"/>
      <c r="Y264" s="6"/>
      <c r="Z264" s="3"/>
      <c r="AA264" s="6"/>
      <c r="AB264" s="6"/>
      <c r="AC264" s="3"/>
    </row>
    <row r="265" spans="1:29" ht="15.75" customHeight="1" x14ac:dyDescent="0.2">
      <c r="A265" s="2"/>
      <c r="B265" s="2"/>
      <c r="C265" s="2"/>
      <c r="D265" s="14"/>
      <c r="E265" s="6"/>
      <c r="F265" s="3"/>
      <c r="G265" s="6"/>
      <c r="H265" s="6"/>
      <c r="I265" s="3"/>
      <c r="J265" s="6"/>
      <c r="K265" s="3"/>
      <c r="L265" s="6"/>
      <c r="M265" s="6"/>
      <c r="N265" s="3"/>
      <c r="O265" s="6"/>
      <c r="P265" s="3"/>
      <c r="Q265" s="6"/>
      <c r="R265" s="6"/>
      <c r="S265" s="3"/>
      <c r="T265" s="6"/>
      <c r="U265" s="3"/>
      <c r="V265" s="6"/>
      <c r="W265" s="6"/>
      <c r="X265" s="3"/>
      <c r="Y265" s="6"/>
      <c r="Z265" s="3"/>
      <c r="AA265" s="6"/>
      <c r="AB265" s="6"/>
      <c r="AC265" s="3"/>
    </row>
    <row r="266" spans="1:29" ht="15.75" customHeight="1" x14ac:dyDescent="0.2">
      <c r="A266" s="2"/>
      <c r="B266" s="2"/>
      <c r="C266" s="2"/>
      <c r="D266" s="14"/>
      <c r="E266" s="6"/>
      <c r="F266" s="3"/>
      <c r="G266" s="6"/>
      <c r="H266" s="6"/>
      <c r="I266" s="3"/>
      <c r="J266" s="6"/>
      <c r="K266" s="3"/>
      <c r="L266" s="6"/>
      <c r="M266" s="6"/>
      <c r="N266" s="3"/>
      <c r="O266" s="6"/>
      <c r="P266" s="3"/>
      <c r="Q266" s="6"/>
      <c r="R266" s="6"/>
      <c r="S266" s="3"/>
      <c r="T266" s="6"/>
      <c r="U266" s="3"/>
      <c r="V266" s="6"/>
      <c r="W266" s="6"/>
      <c r="X266" s="3"/>
      <c r="Y266" s="6"/>
      <c r="Z266" s="3"/>
      <c r="AA266" s="6"/>
      <c r="AB266" s="6"/>
      <c r="AC266" s="3"/>
    </row>
    <row r="267" spans="1:29" ht="15.75" customHeight="1" x14ac:dyDescent="0.2">
      <c r="A267" s="2"/>
      <c r="B267" s="2"/>
      <c r="C267" s="2"/>
      <c r="D267" s="14"/>
      <c r="E267" s="6"/>
      <c r="F267" s="3"/>
      <c r="G267" s="6"/>
      <c r="H267" s="6"/>
      <c r="I267" s="3"/>
      <c r="J267" s="6"/>
      <c r="K267" s="3"/>
      <c r="L267" s="6"/>
      <c r="M267" s="6"/>
      <c r="N267" s="3"/>
      <c r="O267" s="6"/>
      <c r="P267" s="3"/>
      <c r="Q267" s="6"/>
      <c r="R267" s="6"/>
      <c r="S267" s="3"/>
      <c r="T267" s="6"/>
      <c r="U267" s="3"/>
      <c r="V267" s="6"/>
      <c r="W267" s="6"/>
      <c r="X267" s="3"/>
      <c r="Y267" s="6"/>
      <c r="Z267" s="3"/>
      <c r="AA267" s="6"/>
      <c r="AB267" s="6"/>
      <c r="AC267" s="3"/>
    </row>
    <row r="268" spans="1:29" ht="15.75" customHeight="1" x14ac:dyDescent="0.2">
      <c r="A268" s="2"/>
      <c r="B268" s="2"/>
      <c r="C268" s="2"/>
      <c r="D268" s="14"/>
      <c r="E268" s="6"/>
      <c r="F268" s="3"/>
      <c r="G268" s="6"/>
      <c r="H268" s="6"/>
      <c r="I268" s="3"/>
      <c r="J268" s="6"/>
      <c r="K268" s="3"/>
      <c r="L268" s="6"/>
      <c r="M268" s="6"/>
      <c r="N268" s="3"/>
      <c r="O268" s="6"/>
      <c r="P268" s="3"/>
      <c r="Q268" s="6"/>
      <c r="R268" s="6"/>
      <c r="S268" s="3"/>
      <c r="T268" s="6"/>
      <c r="U268" s="3"/>
      <c r="V268" s="6"/>
      <c r="W268" s="6"/>
      <c r="X268" s="3"/>
      <c r="Y268" s="6"/>
      <c r="Z268" s="3"/>
      <c r="AA268" s="6"/>
      <c r="AB268" s="6"/>
      <c r="AC268" s="3"/>
    </row>
    <row r="269" spans="1:29" ht="15.75" customHeight="1" x14ac:dyDescent="0.2">
      <c r="A269" s="2"/>
      <c r="B269" s="2"/>
      <c r="C269" s="2"/>
      <c r="D269" s="14"/>
      <c r="E269" s="6"/>
      <c r="F269" s="3"/>
      <c r="G269" s="6"/>
      <c r="H269" s="6"/>
      <c r="I269" s="3"/>
      <c r="J269" s="6"/>
      <c r="K269" s="3"/>
      <c r="L269" s="6"/>
      <c r="M269" s="6"/>
      <c r="N269" s="3"/>
      <c r="O269" s="6"/>
      <c r="P269" s="3"/>
      <c r="Q269" s="6"/>
      <c r="R269" s="6"/>
      <c r="S269" s="3"/>
      <c r="T269" s="6"/>
      <c r="U269" s="3"/>
      <c r="V269" s="6"/>
      <c r="W269" s="6"/>
      <c r="X269" s="3"/>
      <c r="Y269" s="6"/>
      <c r="Z269" s="3"/>
      <c r="AA269" s="6"/>
      <c r="AB269" s="6"/>
      <c r="AC269" s="3"/>
    </row>
    <row r="270" spans="1:29" ht="15.75" customHeight="1" x14ac:dyDescent="0.2">
      <c r="A270" s="2"/>
      <c r="B270" s="2"/>
      <c r="C270" s="2"/>
      <c r="D270" s="14"/>
      <c r="E270" s="6"/>
      <c r="F270" s="3"/>
      <c r="G270" s="6"/>
      <c r="H270" s="6"/>
      <c r="I270" s="3"/>
      <c r="J270" s="6"/>
      <c r="K270" s="3"/>
      <c r="L270" s="6"/>
      <c r="M270" s="6"/>
      <c r="N270" s="3"/>
      <c r="O270" s="6"/>
      <c r="P270" s="3"/>
      <c r="Q270" s="6"/>
      <c r="R270" s="6"/>
      <c r="S270" s="3"/>
      <c r="T270" s="6"/>
      <c r="U270" s="3"/>
      <c r="V270" s="6"/>
      <c r="W270" s="6"/>
      <c r="X270" s="3"/>
      <c r="Y270" s="6"/>
      <c r="Z270" s="3"/>
      <c r="AA270" s="6"/>
      <c r="AB270" s="6"/>
      <c r="AC270" s="3"/>
    </row>
    <row r="271" spans="1:29" ht="15.75" customHeight="1" x14ac:dyDescent="0.2">
      <c r="A271" s="2"/>
      <c r="B271" s="2"/>
      <c r="C271" s="2"/>
      <c r="D271" s="14"/>
      <c r="E271" s="6"/>
      <c r="F271" s="3"/>
      <c r="G271" s="6"/>
      <c r="H271" s="6"/>
      <c r="I271" s="3"/>
      <c r="J271" s="6"/>
      <c r="K271" s="3"/>
      <c r="L271" s="6"/>
      <c r="M271" s="6"/>
      <c r="N271" s="3"/>
      <c r="O271" s="6"/>
      <c r="P271" s="3"/>
      <c r="Q271" s="6"/>
      <c r="R271" s="6"/>
      <c r="S271" s="3"/>
      <c r="T271" s="6"/>
      <c r="U271" s="3"/>
      <c r="V271" s="6"/>
      <c r="W271" s="6"/>
      <c r="X271" s="3"/>
      <c r="Y271" s="6"/>
      <c r="Z271" s="3"/>
      <c r="AA271" s="6"/>
      <c r="AB271" s="6"/>
      <c r="AC271" s="3"/>
    </row>
    <row r="272" spans="1:29" ht="15.75" customHeight="1" x14ac:dyDescent="0.2">
      <c r="A272" s="2"/>
      <c r="B272" s="2"/>
      <c r="C272" s="2"/>
      <c r="D272" s="14"/>
      <c r="E272" s="6"/>
      <c r="F272" s="3"/>
      <c r="G272" s="6"/>
      <c r="H272" s="6"/>
      <c r="I272" s="3"/>
      <c r="J272" s="6"/>
      <c r="K272" s="3"/>
      <c r="L272" s="6"/>
      <c r="M272" s="6"/>
      <c r="N272" s="3"/>
      <c r="O272" s="6"/>
      <c r="P272" s="3"/>
      <c r="Q272" s="6"/>
      <c r="R272" s="6"/>
      <c r="S272" s="3"/>
      <c r="T272" s="6"/>
      <c r="U272" s="3"/>
      <c r="V272" s="6"/>
      <c r="W272" s="6"/>
      <c r="X272" s="3"/>
      <c r="Y272" s="6"/>
      <c r="Z272" s="3"/>
      <c r="AA272" s="6"/>
      <c r="AB272" s="6"/>
      <c r="AC272" s="3"/>
    </row>
    <row r="273" spans="1:29" ht="15.75" customHeight="1" x14ac:dyDescent="0.2">
      <c r="A273" s="2"/>
      <c r="B273" s="2"/>
      <c r="C273" s="2"/>
      <c r="D273" s="14"/>
      <c r="E273" s="6"/>
      <c r="F273" s="3"/>
      <c r="G273" s="6"/>
      <c r="H273" s="6"/>
      <c r="I273" s="3"/>
      <c r="J273" s="6"/>
      <c r="K273" s="3"/>
      <c r="L273" s="6"/>
      <c r="M273" s="6"/>
      <c r="N273" s="3"/>
      <c r="O273" s="6"/>
      <c r="P273" s="3"/>
      <c r="Q273" s="6"/>
      <c r="R273" s="6"/>
      <c r="S273" s="3"/>
      <c r="T273" s="6"/>
      <c r="U273" s="3"/>
      <c r="V273" s="6"/>
      <c r="W273" s="6"/>
      <c r="X273" s="3"/>
      <c r="Y273" s="6"/>
      <c r="Z273" s="3"/>
      <c r="AA273" s="6"/>
      <c r="AB273" s="6"/>
      <c r="AC273" s="3"/>
    </row>
    <row r="274" spans="1:29" ht="15.75" customHeight="1" x14ac:dyDescent="0.2">
      <c r="A274" s="2"/>
      <c r="B274" s="2"/>
      <c r="C274" s="2"/>
      <c r="D274" s="14"/>
      <c r="E274" s="6"/>
      <c r="F274" s="3"/>
      <c r="G274" s="6"/>
      <c r="H274" s="6"/>
      <c r="I274" s="3"/>
      <c r="J274" s="6"/>
      <c r="K274" s="3"/>
      <c r="L274" s="6"/>
      <c r="M274" s="6"/>
      <c r="N274" s="3"/>
      <c r="O274" s="6"/>
      <c r="P274" s="3"/>
      <c r="Q274" s="6"/>
      <c r="R274" s="6"/>
      <c r="S274" s="3"/>
      <c r="T274" s="6"/>
      <c r="U274" s="3"/>
      <c r="V274" s="6"/>
      <c r="W274" s="6"/>
      <c r="X274" s="3"/>
      <c r="Y274" s="6"/>
      <c r="Z274" s="3"/>
      <c r="AA274" s="6"/>
      <c r="AB274" s="6"/>
      <c r="AC274" s="3"/>
    </row>
    <row r="275" spans="1:29" ht="15.75" customHeight="1" x14ac:dyDescent="0.2">
      <c r="A275" s="2"/>
      <c r="B275" s="2"/>
      <c r="C275" s="2"/>
      <c r="D275" s="14"/>
      <c r="E275" s="6"/>
      <c r="F275" s="3"/>
      <c r="G275" s="6"/>
      <c r="H275" s="6"/>
      <c r="I275" s="3"/>
      <c r="J275" s="6"/>
      <c r="K275" s="3"/>
      <c r="L275" s="6"/>
      <c r="M275" s="6"/>
      <c r="N275" s="3"/>
      <c r="O275" s="6"/>
      <c r="P275" s="3"/>
      <c r="Q275" s="6"/>
      <c r="R275" s="6"/>
      <c r="S275" s="3"/>
      <c r="T275" s="6"/>
      <c r="U275" s="3"/>
      <c r="V275" s="6"/>
      <c r="W275" s="6"/>
      <c r="X275" s="3"/>
      <c r="Y275" s="6"/>
      <c r="Z275" s="3"/>
      <c r="AA275" s="6"/>
      <c r="AB275" s="6"/>
      <c r="AC275" s="3"/>
    </row>
    <row r="276" spans="1:29" ht="15.75" customHeight="1" x14ac:dyDescent="0.2">
      <c r="A276" s="2"/>
      <c r="B276" s="2"/>
      <c r="C276" s="2"/>
      <c r="D276" s="14"/>
      <c r="E276" s="6"/>
      <c r="F276" s="3"/>
      <c r="G276" s="6"/>
      <c r="H276" s="6"/>
      <c r="I276" s="3"/>
      <c r="J276" s="6"/>
      <c r="K276" s="3"/>
      <c r="L276" s="6"/>
      <c r="M276" s="6"/>
      <c r="N276" s="3"/>
      <c r="O276" s="6"/>
      <c r="P276" s="3"/>
      <c r="Q276" s="6"/>
      <c r="R276" s="6"/>
      <c r="S276" s="3"/>
      <c r="T276" s="6"/>
      <c r="U276" s="3"/>
      <c r="V276" s="6"/>
      <c r="W276" s="6"/>
      <c r="X276" s="3"/>
      <c r="Y276" s="6"/>
      <c r="Z276" s="3"/>
      <c r="AA276" s="6"/>
      <c r="AB276" s="6"/>
      <c r="AC276" s="3"/>
    </row>
    <row r="277" spans="1:29" ht="15.75" customHeight="1" x14ac:dyDescent="0.2">
      <c r="A277" s="2"/>
      <c r="B277" s="2"/>
      <c r="C277" s="2"/>
      <c r="D277" s="14"/>
      <c r="E277" s="6"/>
      <c r="F277" s="3"/>
      <c r="G277" s="6"/>
      <c r="H277" s="6"/>
      <c r="I277" s="3"/>
      <c r="J277" s="6"/>
      <c r="K277" s="3"/>
      <c r="L277" s="6"/>
      <c r="M277" s="6"/>
      <c r="N277" s="3"/>
      <c r="O277" s="6"/>
      <c r="P277" s="3"/>
      <c r="Q277" s="6"/>
      <c r="R277" s="6"/>
      <c r="S277" s="3"/>
      <c r="T277" s="6"/>
      <c r="U277" s="3"/>
      <c r="V277" s="6"/>
      <c r="W277" s="6"/>
      <c r="X277" s="3"/>
      <c r="Y277" s="6"/>
      <c r="Z277" s="3"/>
      <c r="AA277" s="6"/>
      <c r="AB277" s="6"/>
      <c r="AC277" s="3"/>
    </row>
    <row r="278" spans="1:29" ht="15.75" customHeight="1" x14ac:dyDescent="0.2">
      <c r="A278" s="2"/>
      <c r="B278" s="2"/>
      <c r="C278" s="2"/>
      <c r="D278" s="14"/>
      <c r="E278" s="6"/>
      <c r="F278" s="3"/>
      <c r="G278" s="6"/>
      <c r="H278" s="6"/>
      <c r="I278" s="3"/>
      <c r="J278" s="6"/>
      <c r="K278" s="3"/>
      <c r="L278" s="6"/>
      <c r="M278" s="6"/>
      <c r="N278" s="3"/>
      <c r="O278" s="6"/>
      <c r="P278" s="3"/>
      <c r="Q278" s="6"/>
      <c r="R278" s="6"/>
      <c r="S278" s="3"/>
      <c r="T278" s="6"/>
      <c r="U278" s="3"/>
      <c r="V278" s="6"/>
      <c r="W278" s="6"/>
      <c r="X278" s="3"/>
      <c r="Y278" s="6"/>
      <c r="Z278" s="3"/>
      <c r="AA278" s="6"/>
      <c r="AB278" s="6"/>
      <c r="AC278" s="3"/>
    </row>
    <row r="279" spans="1:29" ht="15.75" customHeight="1" x14ac:dyDescent="0.2">
      <c r="A279" s="2"/>
      <c r="B279" s="2"/>
      <c r="C279" s="2"/>
      <c r="D279" s="14"/>
      <c r="E279" s="6"/>
      <c r="F279" s="3"/>
      <c r="G279" s="6"/>
      <c r="H279" s="6"/>
      <c r="I279" s="3"/>
      <c r="J279" s="6"/>
      <c r="K279" s="3"/>
      <c r="L279" s="6"/>
      <c r="M279" s="6"/>
      <c r="N279" s="3"/>
      <c r="O279" s="6"/>
      <c r="P279" s="3"/>
      <c r="Q279" s="6"/>
      <c r="R279" s="6"/>
      <c r="S279" s="3"/>
      <c r="T279" s="6"/>
      <c r="U279" s="3"/>
      <c r="V279" s="6"/>
      <c r="W279" s="6"/>
      <c r="X279" s="3"/>
      <c r="Y279" s="6"/>
      <c r="Z279" s="3"/>
      <c r="AA279" s="6"/>
      <c r="AB279" s="6"/>
      <c r="AC279" s="3"/>
    </row>
    <row r="280" spans="1:29" ht="15.75" customHeight="1" x14ac:dyDescent="0.2">
      <c r="A280" s="2"/>
      <c r="B280" s="2"/>
      <c r="C280" s="2"/>
      <c r="D280" s="14"/>
      <c r="E280" s="6"/>
      <c r="F280" s="3"/>
      <c r="G280" s="6"/>
      <c r="H280" s="6"/>
      <c r="I280" s="3"/>
      <c r="J280" s="6"/>
      <c r="K280" s="3"/>
      <c r="L280" s="6"/>
      <c r="M280" s="6"/>
      <c r="N280" s="3"/>
      <c r="O280" s="6"/>
      <c r="P280" s="3"/>
      <c r="Q280" s="6"/>
      <c r="R280" s="6"/>
      <c r="S280" s="3"/>
      <c r="T280" s="6"/>
      <c r="U280" s="3"/>
      <c r="V280" s="6"/>
      <c r="W280" s="6"/>
      <c r="X280" s="3"/>
      <c r="Y280" s="6"/>
      <c r="Z280" s="3"/>
      <c r="AA280" s="6"/>
      <c r="AB280" s="6"/>
      <c r="AC280" s="3"/>
    </row>
    <row r="281" spans="1:29" ht="15.75" customHeight="1" x14ac:dyDescent="0.2">
      <c r="A281" s="2"/>
      <c r="B281" s="2"/>
      <c r="C281" s="2"/>
      <c r="D281" s="14"/>
      <c r="E281" s="6"/>
      <c r="F281" s="3"/>
      <c r="G281" s="6"/>
      <c r="H281" s="6"/>
      <c r="I281" s="3"/>
      <c r="J281" s="6"/>
      <c r="K281" s="3"/>
      <c r="L281" s="6"/>
      <c r="M281" s="6"/>
      <c r="N281" s="3"/>
      <c r="O281" s="6"/>
      <c r="P281" s="3"/>
      <c r="Q281" s="6"/>
      <c r="R281" s="6"/>
      <c r="S281" s="3"/>
      <c r="T281" s="6"/>
      <c r="U281" s="3"/>
      <c r="V281" s="6"/>
      <c r="W281" s="6"/>
      <c r="X281" s="3"/>
      <c r="Y281" s="6"/>
      <c r="Z281" s="3"/>
      <c r="AA281" s="6"/>
      <c r="AB281" s="6"/>
      <c r="AC281" s="3"/>
    </row>
    <row r="282" spans="1:29" ht="15.75" customHeight="1" x14ac:dyDescent="0.2">
      <c r="A282" s="2"/>
      <c r="B282" s="2"/>
      <c r="C282" s="2"/>
      <c r="D282" s="14"/>
      <c r="E282" s="6"/>
      <c r="F282" s="3"/>
      <c r="G282" s="6"/>
      <c r="H282" s="6"/>
      <c r="I282" s="3"/>
      <c r="J282" s="6"/>
      <c r="K282" s="3"/>
      <c r="L282" s="6"/>
      <c r="M282" s="6"/>
      <c r="N282" s="3"/>
      <c r="O282" s="6"/>
      <c r="P282" s="3"/>
      <c r="Q282" s="6"/>
      <c r="R282" s="6"/>
      <c r="S282" s="3"/>
      <c r="T282" s="6"/>
      <c r="U282" s="3"/>
      <c r="V282" s="6"/>
      <c r="W282" s="6"/>
      <c r="X282" s="3"/>
      <c r="Y282" s="6"/>
      <c r="Z282" s="3"/>
      <c r="AA282" s="6"/>
      <c r="AB282" s="6"/>
      <c r="AC282" s="3"/>
    </row>
    <row r="283" spans="1:29" ht="15.75" customHeight="1" x14ac:dyDescent="0.2">
      <c r="A283" s="2"/>
      <c r="B283" s="2"/>
      <c r="C283" s="2"/>
      <c r="D283" s="14"/>
      <c r="E283" s="6"/>
      <c r="F283" s="3"/>
      <c r="G283" s="6"/>
      <c r="H283" s="6"/>
      <c r="I283" s="3"/>
      <c r="J283" s="6"/>
      <c r="K283" s="3"/>
      <c r="L283" s="6"/>
      <c r="M283" s="6"/>
      <c r="N283" s="3"/>
      <c r="O283" s="6"/>
      <c r="P283" s="3"/>
      <c r="Q283" s="6"/>
      <c r="R283" s="6"/>
      <c r="S283" s="3"/>
      <c r="T283" s="6"/>
      <c r="U283" s="3"/>
      <c r="V283" s="6"/>
      <c r="W283" s="6"/>
      <c r="X283" s="3"/>
      <c r="Y283" s="6"/>
      <c r="Z283" s="3"/>
      <c r="AA283" s="6"/>
      <c r="AB283" s="6"/>
      <c r="AC283" s="3"/>
    </row>
    <row r="284" spans="1:29" ht="15.75" customHeight="1" x14ac:dyDescent="0.2">
      <c r="A284" s="2"/>
      <c r="B284" s="2"/>
      <c r="C284" s="2"/>
      <c r="D284" s="14"/>
      <c r="E284" s="6"/>
      <c r="F284" s="3"/>
      <c r="G284" s="6"/>
      <c r="H284" s="6"/>
      <c r="I284" s="3"/>
      <c r="J284" s="6"/>
      <c r="K284" s="3"/>
      <c r="L284" s="6"/>
      <c r="M284" s="6"/>
      <c r="N284" s="3"/>
      <c r="O284" s="6"/>
      <c r="P284" s="3"/>
      <c r="Q284" s="6"/>
      <c r="R284" s="6"/>
      <c r="S284" s="3"/>
      <c r="T284" s="6"/>
      <c r="U284" s="3"/>
      <c r="V284" s="6"/>
      <c r="W284" s="6"/>
      <c r="X284" s="3"/>
      <c r="Y284" s="6"/>
      <c r="Z284" s="3"/>
      <c r="AA284" s="6"/>
      <c r="AB284" s="6"/>
      <c r="AC284" s="3"/>
    </row>
    <row r="285" spans="1:29" ht="15.75" customHeight="1" x14ac:dyDescent="0.2">
      <c r="A285" s="2"/>
      <c r="B285" s="2"/>
      <c r="C285" s="2"/>
      <c r="D285" s="14"/>
      <c r="E285" s="6"/>
      <c r="F285" s="3"/>
      <c r="G285" s="6"/>
      <c r="H285" s="6"/>
      <c r="I285" s="3"/>
      <c r="J285" s="6"/>
      <c r="K285" s="3"/>
      <c r="L285" s="6"/>
      <c r="M285" s="6"/>
      <c r="N285" s="3"/>
      <c r="O285" s="6"/>
      <c r="P285" s="3"/>
      <c r="Q285" s="6"/>
      <c r="R285" s="6"/>
      <c r="S285" s="3"/>
      <c r="T285" s="6"/>
      <c r="U285" s="3"/>
      <c r="V285" s="6"/>
      <c r="W285" s="6"/>
      <c r="X285" s="3"/>
      <c r="Y285" s="6"/>
      <c r="Z285" s="3"/>
      <c r="AA285" s="6"/>
      <c r="AB285" s="6"/>
      <c r="AC285" s="3"/>
    </row>
    <row r="286" spans="1:29" ht="15.75" customHeight="1" x14ac:dyDescent="0.2">
      <c r="A286" s="2"/>
      <c r="B286" s="2"/>
      <c r="C286" s="2"/>
      <c r="D286" s="14"/>
      <c r="E286" s="6"/>
      <c r="F286" s="3"/>
      <c r="G286" s="6"/>
      <c r="H286" s="6"/>
      <c r="I286" s="3"/>
      <c r="J286" s="6"/>
      <c r="K286" s="3"/>
      <c r="L286" s="6"/>
      <c r="M286" s="6"/>
      <c r="N286" s="3"/>
      <c r="O286" s="6"/>
      <c r="P286" s="3"/>
      <c r="Q286" s="6"/>
      <c r="R286" s="6"/>
      <c r="S286" s="3"/>
      <c r="T286" s="6"/>
      <c r="U286" s="3"/>
      <c r="V286" s="6"/>
      <c r="W286" s="6"/>
      <c r="X286" s="3"/>
      <c r="Y286" s="6"/>
      <c r="Z286" s="3"/>
      <c r="AA286" s="6"/>
      <c r="AB286" s="6"/>
      <c r="AC286" s="3"/>
    </row>
    <row r="287" spans="1:29" ht="15.75" customHeight="1" x14ac:dyDescent="0.2">
      <c r="A287" s="2"/>
      <c r="B287" s="2"/>
      <c r="C287" s="2"/>
      <c r="D287" s="14"/>
      <c r="E287" s="6"/>
      <c r="F287" s="3"/>
      <c r="G287" s="6"/>
      <c r="H287" s="6"/>
      <c r="I287" s="3"/>
      <c r="J287" s="6"/>
      <c r="K287" s="3"/>
      <c r="L287" s="6"/>
      <c r="M287" s="6"/>
      <c r="N287" s="3"/>
      <c r="O287" s="6"/>
      <c r="P287" s="3"/>
      <c r="Q287" s="6"/>
      <c r="R287" s="6"/>
      <c r="S287" s="3"/>
      <c r="T287" s="6"/>
      <c r="U287" s="3"/>
      <c r="V287" s="6"/>
      <c r="W287" s="6"/>
      <c r="X287" s="3"/>
      <c r="Y287" s="6"/>
      <c r="Z287" s="3"/>
      <c r="AA287" s="6"/>
      <c r="AB287" s="6"/>
      <c r="AC287" s="3"/>
    </row>
    <row r="288" spans="1:29" ht="15.75" customHeight="1" x14ac:dyDescent="0.2">
      <c r="A288" s="2"/>
      <c r="B288" s="2"/>
      <c r="C288" s="2"/>
      <c r="D288" s="14"/>
      <c r="E288" s="6"/>
      <c r="F288" s="3"/>
      <c r="G288" s="6"/>
      <c r="H288" s="6"/>
      <c r="I288" s="3"/>
      <c r="J288" s="6"/>
      <c r="K288" s="3"/>
      <c r="L288" s="6"/>
      <c r="M288" s="6"/>
      <c r="N288" s="3"/>
      <c r="O288" s="6"/>
      <c r="P288" s="3"/>
      <c r="Q288" s="6"/>
      <c r="R288" s="6"/>
      <c r="S288" s="3"/>
      <c r="T288" s="6"/>
      <c r="U288" s="3"/>
      <c r="V288" s="6"/>
      <c r="W288" s="6"/>
      <c r="X288" s="3"/>
      <c r="Y288" s="6"/>
      <c r="Z288" s="3"/>
      <c r="AA288" s="6"/>
      <c r="AB288" s="6"/>
      <c r="AC288" s="3"/>
    </row>
    <row r="289" spans="1:29" ht="15.75" customHeight="1" x14ac:dyDescent="0.2">
      <c r="A289" s="2"/>
      <c r="B289" s="2"/>
      <c r="C289" s="2"/>
      <c r="D289" s="14"/>
      <c r="E289" s="6"/>
      <c r="F289" s="3"/>
      <c r="G289" s="6"/>
      <c r="H289" s="6"/>
      <c r="I289" s="3"/>
      <c r="J289" s="6"/>
      <c r="K289" s="3"/>
      <c r="L289" s="6"/>
      <c r="M289" s="6"/>
      <c r="N289" s="3"/>
      <c r="O289" s="6"/>
      <c r="P289" s="3"/>
      <c r="Q289" s="6"/>
      <c r="R289" s="6"/>
      <c r="S289" s="3"/>
      <c r="T289" s="6"/>
      <c r="U289" s="3"/>
      <c r="V289" s="6"/>
      <c r="W289" s="6"/>
      <c r="X289" s="3"/>
      <c r="Y289" s="6"/>
      <c r="Z289" s="3"/>
      <c r="AA289" s="6"/>
      <c r="AB289" s="6"/>
      <c r="AC289" s="3"/>
    </row>
    <row r="290" spans="1:29" ht="15.75" customHeight="1" x14ac:dyDescent="0.2">
      <c r="A290" s="2"/>
      <c r="B290" s="2"/>
      <c r="C290" s="2"/>
      <c r="D290" s="14"/>
      <c r="E290" s="6"/>
      <c r="F290" s="3"/>
      <c r="G290" s="6"/>
      <c r="H290" s="6"/>
      <c r="I290" s="3"/>
      <c r="J290" s="6"/>
      <c r="K290" s="3"/>
      <c r="L290" s="6"/>
      <c r="M290" s="6"/>
      <c r="N290" s="3"/>
      <c r="O290" s="6"/>
      <c r="P290" s="3"/>
      <c r="Q290" s="6"/>
      <c r="R290" s="6"/>
      <c r="S290" s="3"/>
      <c r="T290" s="6"/>
      <c r="U290" s="3"/>
      <c r="V290" s="6"/>
      <c r="W290" s="6"/>
      <c r="X290" s="3"/>
      <c r="Y290" s="6"/>
      <c r="Z290" s="3"/>
      <c r="AA290" s="6"/>
      <c r="AB290" s="6"/>
      <c r="AC290" s="3"/>
    </row>
    <row r="291" spans="1:29" ht="15.75" customHeight="1" x14ac:dyDescent="0.2">
      <c r="A291" s="2"/>
      <c r="B291" s="2"/>
      <c r="C291" s="2"/>
      <c r="D291" s="14"/>
      <c r="E291" s="6"/>
      <c r="F291" s="3"/>
      <c r="G291" s="6"/>
      <c r="H291" s="6"/>
      <c r="I291" s="3"/>
      <c r="J291" s="6"/>
      <c r="K291" s="3"/>
      <c r="L291" s="6"/>
      <c r="M291" s="6"/>
      <c r="N291" s="3"/>
      <c r="O291" s="6"/>
      <c r="P291" s="3"/>
      <c r="Q291" s="6"/>
      <c r="R291" s="6"/>
      <c r="S291" s="3"/>
      <c r="T291" s="6"/>
      <c r="U291" s="3"/>
      <c r="V291" s="6"/>
      <c r="W291" s="6"/>
      <c r="X291" s="3"/>
      <c r="Y291" s="6"/>
      <c r="Z291" s="3"/>
      <c r="AA291" s="6"/>
      <c r="AB291" s="6"/>
      <c r="AC291" s="3"/>
    </row>
    <row r="292" spans="1:29" ht="15.75" customHeight="1" x14ac:dyDescent="0.2">
      <c r="A292" s="2"/>
      <c r="B292" s="2"/>
      <c r="C292" s="2"/>
      <c r="D292" s="14"/>
      <c r="E292" s="6"/>
      <c r="F292" s="3"/>
      <c r="G292" s="6"/>
      <c r="H292" s="6"/>
      <c r="I292" s="3"/>
      <c r="J292" s="6"/>
      <c r="K292" s="3"/>
      <c r="L292" s="6"/>
      <c r="M292" s="6"/>
      <c r="N292" s="3"/>
      <c r="O292" s="6"/>
      <c r="P292" s="3"/>
      <c r="Q292" s="6"/>
      <c r="R292" s="6"/>
      <c r="S292" s="3"/>
      <c r="T292" s="6"/>
      <c r="U292" s="3"/>
      <c r="V292" s="6"/>
      <c r="W292" s="6"/>
      <c r="X292" s="3"/>
      <c r="Y292" s="6"/>
      <c r="Z292" s="3"/>
      <c r="AA292" s="6"/>
      <c r="AB292" s="6"/>
      <c r="AC292" s="3"/>
    </row>
    <row r="293" spans="1:29" ht="15.75" customHeight="1" x14ac:dyDescent="0.2">
      <c r="A293" s="2"/>
      <c r="B293" s="2"/>
      <c r="C293" s="2"/>
      <c r="D293" s="14"/>
      <c r="E293" s="6"/>
      <c r="F293" s="3"/>
      <c r="G293" s="6"/>
      <c r="H293" s="6"/>
      <c r="I293" s="3"/>
      <c r="J293" s="6"/>
      <c r="K293" s="3"/>
      <c r="L293" s="6"/>
      <c r="M293" s="6"/>
      <c r="N293" s="3"/>
      <c r="O293" s="6"/>
      <c r="P293" s="3"/>
      <c r="Q293" s="6"/>
      <c r="R293" s="6"/>
      <c r="S293" s="3"/>
      <c r="T293" s="6"/>
      <c r="U293" s="3"/>
      <c r="V293" s="6"/>
      <c r="W293" s="6"/>
      <c r="X293" s="3"/>
      <c r="Y293" s="6"/>
      <c r="Z293" s="3"/>
      <c r="AA293" s="6"/>
      <c r="AB293" s="6"/>
      <c r="AC293" s="3"/>
    </row>
    <row r="294" spans="1:29" ht="15.75" customHeight="1" x14ac:dyDescent="0.2">
      <c r="A294" s="2"/>
      <c r="B294" s="2"/>
      <c r="C294" s="2"/>
      <c r="D294" s="14"/>
      <c r="E294" s="6"/>
      <c r="F294" s="3"/>
      <c r="G294" s="6"/>
      <c r="H294" s="6"/>
      <c r="I294" s="3"/>
      <c r="J294" s="6"/>
      <c r="K294" s="3"/>
      <c r="L294" s="6"/>
      <c r="M294" s="6"/>
      <c r="N294" s="3"/>
      <c r="O294" s="6"/>
      <c r="P294" s="3"/>
      <c r="Q294" s="6"/>
      <c r="R294" s="6"/>
      <c r="S294" s="3"/>
      <c r="T294" s="6"/>
      <c r="U294" s="3"/>
      <c r="V294" s="6"/>
      <c r="W294" s="6"/>
      <c r="X294" s="3"/>
      <c r="Y294" s="6"/>
      <c r="Z294" s="3"/>
      <c r="AA294" s="6"/>
      <c r="AB294" s="6"/>
      <c r="AC294" s="3"/>
    </row>
    <row r="295" spans="1:29" ht="15.75" customHeight="1" x14ac:dyDescent="0.2">
      <c r="A295" s="2"/>
      <c r="B295" s="2"/>
      <c r="C295" s="2"/>
      <c r="D295" s="14"/>
      <c r="E295" s="6"/>
      <c r="F295" s="3"/>
      <c r="G295" s="6"/>
      <c r="H295" s="6"/>
      <c r="I295" s="3"/>
      <c r="J295" s="6"/>
      <c r="K295" s="3"/>
      <c r="L295" s="6"/>
      <c r="M295" s="6"/>
      <c r="N295" s="3"/>
      <c r="O295" s="6"/>
      <c r="P295" s="3"/>
      <c r="Q295" s="6"/>
      <c r="R295" s="6"/>
      <c r="S295" s="3"/>
      <c r="T295" s="6"/>
      <c r="U295" s="3"/>
      <c r="V295" s="6"/>
      <c r="W295" s="6"/>
      <c r="X295" s="3"/>
      <c r="Y295" s="6"/>
      <c r="Z295" s="3"/>
      <c r="AA295" s="6"/>
      <c r="AB295" s="6"/>
      <c r="AC295" s="3"/>
    </row>
    <row r="296" spans="1:29" ht="15.75" customHeight="1" x14ac:dyDescent="0.2">
      <c r="A296" s="2"/>
      <c r="B296" s="2"/>
      <c r="C296" s="2"/>
      <c r="D296" s="14"/>
      <c r="E296" s="6"/>
      <c r="F296" s="3"/>
      <c r="G296" s="6"/>
      <c r="H296" s="6"/>
      <c r="I296" s="3"/>
      <c r="J296" s="6"/>
      <c r="K296" s="3"/>
      <c r="L296" s="6"/>
      <c r="M296" s="6"/>
      <c r="N296" s="3"/>
      <c r="O296" s="6"/>
      <c r="P296" s="3"/>
      <c r="Q296" s="6"/>
      <c r="R296" s="6"/>
      <c r="S296" s="3"/>
      <c r="T296" s="6"/>
      <c r="U296" s="3"/>
      <c r="V296" s="6"/>
      <c r="W296" s="6"/>
      <c r="X296" s="3"/>
      <c r="Y296" s="6"/>
      <c r="Z296" s="3"/>
      <c r="AA296" s="6"/>
      <c r="AB296" s="6"/>
      <c r="AC296" s="3"/>
    </row>
    <row r="297" spans="1:29" ht="15.75" customHeight="1" x14ac:dyDescent="0.2">
      <c r="A297" s="2"/>
      <c r="B297" s="2"/>
      <c r="C297" s="2"/>
      <c r="D297" s="14"/>
      <c r="E297" s="6"/>
      <c r="F297" s="3"/>
      <c r="G297" s="6"/>
      <c r="H297" s="6"/>
      <c r="I297" s="3"/>
      <c r="J297" s="6"/>
      <c r="K297" s="3"/>
      <c r="L297" s="6"/>
      <c r="M297" s="6"/>
      <c r="N297" s="3"/>
      <c r="O297" s="6"/>
      <c r="P297" s="3"/>
      <c r="Q297" s="6"/>
      <c r="R297" s="6"/>
      <c r="S297" s="3"/>
      <c r="T297" s="6"/>
      <c r="U297" s="3"/>
      <c r="V297" s="6"/>
      <c r="W297" s="6"/>
      <c r="X297" s="3"/>
      <c r="Y297" s="6"/>
      <c r="Z297" s="3"/>
      <c r="AA297" s="6"/>
      <c r="AB297" s="6"/>
      <c r="AC297" s="3"/>
    </row>
    <row r="298" spans="1:29" ht="15.75" customHeight="1" x14ac:dyDescent="0.2">
      <c r="A298" s="2"/>
      <c r="B298" s="2"/>
      <c r="C298" s="2"/>
      <c r="D298" s="14"/>
      <c r="E298" s="6"/>
      <c r="F298" s="3"/>
      <c r="G298" s="6"/>
      <c r="H298" s="6"/>
      <c r="I298" s="3"/>
      <c r="J298" s="6"/>
      <c r="K298" s="3"/>
      <c r="L298" s="6"/>
      <c r="M298" s="6"/>
      <c r="N298" s="3"/>
      <c r="O298" s="6"/>
      <c r="P298" s="3"/>
      <c r="Q298" s="6"/>
      <c r="R298" s="6"/>
      <c r="S298" s="3"/>
      <c r="T298" s="6"/>
      <c r="U298" s="3"/>
      <c r="V298" s="6"/>
      <c r="W298" s="6"/>
      <c r="X298" s="3"/>
      <c r="Y298" s="6"/>
      <c r="Z298" s="3"/>
      <c r="AA298" s="6"/>
      <c r="AB298" s="6"/>
      <c r="AC298" s="3"/>
    </row>
    <row r="299" spans="1:29" ht="15.75" customHeight="1" x14ac:dyDescent="0.2">
      <c r="A299" s="2"/>
      <c r="B299" s="2"/>
      <c r="C299" s="2"/>
      <c r="D299" s="14"/>
      <c r="E299" s="6"/>
      <c r="F299" s="3"/>
      <c r="G299" s="6"/>
      <c r="H299" s="6"/>
      <c r="I299" s="3"/>
      <c r="J299" s="6"/>
      <c r="K299" s="3"/>
      <c r="L299" s="6"/>
      <c r="M299" s="6"/>
      <c r="N299" s="3"/>
      <c r="O299" s="6"/>
      <c r="P299" s="3"/>
      <c r="Q299" s="6"/>
      <c r="R299" s="6"/>
      <c r="S299" s="3"/>
      <c r="T299" s="6"/>
      <c r="U299" s="3"/>
      <c r="V299" s="6"/>
      <c r="W299" s="6"/>
      <c r="X299" s="3"/>
      <c r="Y299" s="6"/>
      <c r="Z299" s="3"/>
      <c r="AA299" s="6"/>
      <c r="AB299" s="6"/>
      <c r="AC299" s="3"/>
    </row>
    <row r="300" spans="1:29" ht="15.75" customHeight="1" x14ac:dyDescent="0.2">
      <c r="A300" s="2"/>
      <c r="B300" s="2"/>
      <c r="C300" s="2"/>
      <c r="D300" s="14"/>
      <c r="E300" s="6"/>
      <c r="F300" s="3"/>
      <c r="G300" s="6"/>
      <c r="H300" s="6"/>
      <c r="I300" s="3"/>
      <c r="J300" s="6"/>
      <c r="K300" s="3"/>
      <c r="L300" s="6"/>
      <c r="M300" s="6"/>
      <c r="N300" s="3"/>
      <c r="O300" s="6"/>
      <c r="P300" s="3"/>
      <c r="Q300" s="6"/>
      <c r="R300" s="6"/>
      <c r="S300" s="3"/>
      <c r="T300" s="6"/>
      <c r="U300" s="3"/>
      <c r="V300" s="6"/>
      <c r="W300" s="6"/>
      <c r="X300" s="3"/>
      <c r="Y300" s="6"/>
      <c r="Z300" s="3"/>
      <c r="AA300" s="6"/>
      <c r="AB300" s="6"/>
      <c r="AC300" s="3"/>
    </row>
    <row r="301" spans="1:29" ht="15.75" customHeight="1" x14ac:dyDescent="0.2">
      <c r="A301" s="2"/>
      <c r="B301" s="2"/>
      <c r="C301" s="2"/>
      <c r="D301" s="14"/>
      <c r="E301" s="6"/>
      <c r="F301" s="3"/>
      <c r="G301" s="6"/>
      <c r="H301" s="6"/>
      <c r="I301" s="3"/>
      <c r="J301" s="6"/>
      <c r="K301" s="3"/>
      <c r="L301" s="6"/>
      <c r="M301" s="6"/>
      <c r="N301" s="3"/>
      <c r="O301" s="6"/>
      <c r="P301" s="3"/>
      <c r="Q301" s="6"/>
      <c r="R301" s="6"/>
      <c r="S301" s="3"/>
      <c r="T301" s="6"/>
      <c r="U301" s="3"/>
      <c r="V301" s="6"/>
      <c r="W301" s="6"/>
      <c r="X301" s="3"/>
      <c r="Y301" s="6"/>
      <c r="Z301" s="3"/>
      <c r="AA301" s="6"/>
      <c r="AB301" s="6"/>
      <c r="AC301" s="3"/>
    </row>
    <row r="302" spans="1:29" ht="15.75" customHeight="1" x14ac:dyDescent="0.2">
      <c r="A302" s="2"/>
      <c r="B302" s="2"/>
      <c r="C302" s="2"/>
      <c r="D302" s="14"/>
      <c r="E302" s="6"/>
      <c r="F302" s="3"/>
      <c r="G302" s="6"/>
      <c r="H302" s="6"/>
      <c r="I302" s="3"/>
      <c r="J302" s="6"/>
      <c r="K302" s="3"/>
      <c r="L302" s="6"/>
      <c r="M302" s="6"/>
      <c r="N302" s="3"/>
      <c r="O302" s="6"/>
      <c r="P302" s="3"/>
      <c r="Q302" s="6"/>
      <c r="R302" s="6"/>
      <c r="S302" s="3"/>
      <c r="T302" s="6"/>
      <c r="U302" s="3"/>
      <c r="V302" s="6"/>
      <c r="W302" s="6"/>
      <c r="X302" s="3"/>
      <c r="Y302" s="6"/>
      <c r="Z302" s="3"/>
      <c r="AA302" s="6"/>
      <c r="AB302" s="6"/>
      <c r="AC302" s="3"/>
    </row>
    <row r="303" spans="1:29" ht="15.75" customHeight="1" x14ac:dyDescent="0.2">
      <c r="A303" s="2"/>
      <c r="B303" s="2"/>
      <c r="C303" s="2"/>
      <c r="D303" s="14"/>
      <c r="E303" s="6"/>
      <c r="F303" s="3"/>
      <c r="G303" s="6"/>
      <c r="H303" s="6"/>
      <c r="I303" s="3"/>
      <c r="J303" s="6"/>
      <c r="K303" s="3"/>
      <c r="L303" s="6"/>
      <c r="M303" s="6"/>
      <c r="N303" s="3"/>
      <c r="O303" s="6"/>
      <c r="P303" s="3"/>
      <c r="Q303" s="6"/>
      <c r="R303" s="6"/>
      <c r="S303" s="3"/>
      <c r="T303" s="6"/>
      <c r="U303" s="3"/>
      <c r="V303" s="6"/>
      <c r="W303" s="6"/>
      <c r="X303" s="3"/>
      <c r="Y303" s="6"/>
      <c r="Z303" s="3"/>
      <c r="AA303" s="6"/>
      <c r="AB303" s="6"/>
      <c r="AC303" s="3"/>
    </row>
    <row r="304" spans="1:29" ht="15.75" customHeight="1" x14ac:dyDescent="0.2">
      <c r="A304" s="2"/>
      <c r="B304" s="2"/>
      <c r="C304" s="2"/>
      <c r="D304" s="14"/>
      <c r="E304" s="6"/>
      <c r="F304" s="3"/>
      <c r="G304" s="6"/>
      <c r="H304" s="6"/>
      <c r="I304" s="3"/>
      <c r="J304" s="6"/>
      <c r="K304" s="3"/>
      <c r="L304" s="6"/>
      <c r="M304" s="6"/>
      <c r="N304" s="3"/>
      <c r="O304" s="6"/>
      <c r="P304" s="3"/>
      <c r="Q304" s="6"/>
      <c r="R304" s="6"/>
      <c r="S304" s="3"/>
      <c r="T304" s="6"/>
      <c r="U304" s="3"/>
      <c r="V304" s="6"/>
      <c r="W304" s="6"/>
      <c r="X304" s="3"/>
      <c r="Y304" s="6"/>
      <c r="Z304" s="3"/>
      <c r="AA304" s="6"/>
      <c r="AB304" s="6"/>
      <c r="AC304" s="3"/>
    </row>
    <row r="305" spans="1:29" ht="15.75" customHeight="1" x14ac:dyDescent="0.2">
      <c r="A305" s="2"/>
      <c r="B305" s="2"/>
      <c r="C305" s="2"/>
      <c r="D305" s="14"/>
      <c r="E305" s="6"/>
      <c r="F305" s="3"/>
      <c r="G305" s="6"/>
      <c r="H305" s="6"/>
      <c r="I305" s="3"/>
      <c r="J305" s="6"/>
      <c r="K305" s="3"/>
      <c r="L305" s="6"/>
      <c r="M305" s="6"/>
      <c r="N305" s="3"/>
      <c r="O305" s="6"/>
      <c r="P305" s="3"/>
      <c r="Q305" s="6"/>
      <c r="R305" s="6"/>
      <c r="S305" s="3"/>
      <c r="T305" s="6"/>
      <c r="U305" s="3"/>
      <c r="V305" s="6"/>
      <c r="W305" s="6"/>
      <c r="X305" s="3"/>
      <c r="Y305" s="6"/>
      <c r="Z305" s="3"/>
      <c r="AA305" s="6"/>
      <c r="AB305" s="6"/>
      <c r="AC305" s="3"/>
    </row>
    <row r="306" spans="1:29" ht="15.75" customHeight="1" x14ac:dyDescent="0.2">
      <c r="A306" s="2"/>
      <c r="B306" s="2"/>
      <c r="C306" s="2"/>
      <c r="D306" s="14"/>
      <c r="E306" s="6"/>
      <c r="F306" s="3"/>
      <c r="G306" s="6"/>
      <c r="H306" s="6"/>
      <c r="I306" s="3"/>
      <c r="J306" s="6"/>
      <c r="K306" s="3"/>
      <c r="L306" s="6"/>
      <c r="M306" s="6"/>
      <c r="N306" s="3"/>
      <c r="O306" s="6"/>
      <c r="P306" s="3"/>
      <c r="Q306" s="6"/>
      <c r="R306" s="6"/>
      <c r="S306" s="3"/>
      <c r="T306" s="6"/>
      <c r="U306" s="3"/>
      <c r="V306" s="6"/>
      <c r="W306" s="6"/>
      <c r="X306" s="3"/>
      <c r="Y306" s="6"/>
      <c r="Z306" s="3"/>
      <c r="AA306" s="6"/>
      <c r="AB306" s="6"/>
      <c r="AC306" s="3"/>
    </row>
    <row r="307" spans="1:29" ht="15.75" customHeight="1" x14ac:dyDescent="0.2">
      <c r="A307" s="2"/>
      <c r="B307" s="2"/>
      <c r="C307" s="2"/>
      <c r="D307" s="14"/>
      <c r="E307" s="6"/>
      <c r="F307" s="3"/>
      <c r="G307" s="6"/>
      <c r="H307" s="6"/>
      <c r="I307" s="3"/>
      <c r="J307" s="6"/>
      <c r="K307" s="3"/>
      <c r="L307" s="6"/>
      <c r="M307" s="6"/>
      <c r="N307" s="3"/>
      <c r="O307" s="6"/>
      <c r="P307" s="3"/>
      <c r="Q307" s="6"/>
      <c r="R307" s="6"/>
      <c r="S307" s="3"/>
      <c r="T307" s="6"/>
      <c r="U307" s="3"/>
      <c r="V307" s="6"/>
      <c r="W307" s="6"/>
      <c r="X307" s="3"/>
      <c r="Y307" s="6"/>
      <c r="Z307" s="3"/>
      <c r="AA307" s="6"/>
      <c r="AB307" s="6"/>
      <c r="AC307" s="3"/>
    </row>
    <row r="308" spans="1:29" ht="15.75" customHeight="1" x14ac:dyDescent="0.2">
      <c r="A308" s="2"/>
      <c r="B308" s="2"/>
      <c r="C308" s="2"/>
      <c r="D308" s="14"/>
      <c r="E308" s="6"/>
      <c r="F308" s="3"/>
      <c r="G308" s="6"/>
      <c r="H308" s="6"/>
      <c r="I308" s="3"/>
      <c r="J308" s="6"/>
      <c r="K308" s="3"/>
      <c r="L308" s="6"/>
      <c r="M308" s="6"/>
      <c r="N308" s="3"/>
      <c r="O308" s="6"/>
      <c r="P308" s="3"/>
      <c r="Q308" s="6"/>
      <c r="R308" s="6"/>
      <c r="S308" s="3"/>
      <c r="T308" s="6"/>
      <c r="U308" s="3"/>
      <c r="V308" s="6"/>
      <c r="W308" s="6"/>
      <c r="X308" s="3"/>
      <c r="Y308" s="6"/>
      <c r="Z308" s="3"/>
      <c r="AA308" s="6"/>
      <c r="AB308" s="6"/>
      <c r="AC308" s="3"/>
    </row>
    <row r="309" spans="1:29" ht="15.75" customHeight="1" x14ac:dyDescent="0.2">
      <c r="A309" s="2"/>
      <c r="B309" s="2"/>
      <c r="C309" s="2"/>
      <c r="D309" s="14"/>
      <c r="E309" s="6"/>
      <c r="F309" s="3"/>
      <c r="G309" s="6"/>
      <c r="H309" s="6"/>
      <c r="I309" s="3"/>
      <c r="J309" s="6"/>
      <c r="K309" s="3"/>
      <c r="L309" s="6"/>
      <c r="M309" s="6"/>
      <c r="N309" s="3"/>
      <c r="O309" s="6"/>
      <c r="P309" s="3"/>
      <c r="Q309" s="6"/>
      <c r="R309" s="6"/>
      <c r="S309" s="3"/>
      <c r="T309" s="6"/>
      <c r="U309" s="3"/>
      <c r="V309" s="6"/>
      <c r="W309" s="6"/>
      <c r="X309" s="3"/>
      <c r="Y309" s="6"/>
      <c r="Z309" s="3"/>
      <c r="AA309" s="6"/>
      <c r="AB309" s="6"/>
      <c r="AC309" s="3"/>
    </row>
    <row r="310" spans="1:29" ht="15.75" customHeight="1" x14ac:dyDescent="0.2">
      <c r="A310" s="2"/>
      <c r="B310" s="2"/>
      <c r="C310" s="2"/>
      <c r="D310" s="14"/>
      <c r="E310" s="6"/>
      <c r="F310" s="3"/>
      <c r="G310" s="6"/>
      <c r="H310" s="6"/>
      <c r="I310" s="3"/>
      <c r="J310" s="6"/>
      <c r="K310" s="3"/>
      <c r="L310" s="6"/>
      <c r="M310" s="6"/>
      <c r="N310" s="3"/>
      <c r="O310" s="6"/>
      <c r="P310" s="3"/>
      <c r="Q310" s="6"/>
      <c r="R310" s="6"/>
      <c r="S310" s="3"/>
      <c r="T310" s="6"/>
      <c r="U310" s="3"/>
      <c r="V310" s="6"/>
      <c r="W310" s="6"/>
      <c r="X310" s="3"/>
      <c r="Y310" s="6"/>
      <c r="Z310" s="3"/>
      <c r="AA310" s="6"/>
      <c r="AB310" s="6"/>
      <c r="AC310" s="3"/>
    </row>
    <row r="311" spans="1:29" ht="15.75" customHeight="1" x14ac:dyDescent="0.2">
      <c r="A311" s="2"/>
      <c r="B311" s="2"/>
      <c r="C311" s="2"/>
      <c r="D311" s="14"/>
      <c r="E311" s="6"/>
      <c r="F311" s="3"/>
      <c r="G311" s="6"/>
      <c r="H311" s="6"/>
      <c r="I311" s="3"/>
      <c r="J311" s="6"/>
      <c r="K311" s="3"/>
      <c r="L311" s="6"/>
      <c r="M311" s="6"/>
      <c r="N311" s="3"/>
      <c r="O311" s="6"/>
      <c r="P311" s="3"/>
      <c r="Q311" s="6"/>
      <c r="R311" s="6"/>
      <c r="S311" s="3"/>
      <c r="T311" s="6"/>
      <c r="U311" s="3"/>
      <c r="V311" s="6"/>
      <c r="W311" s="6"/>
      <c r="X311" s="3"/>
      <c r="Y311" s="6"/>
      <c r="Z311" s="3"/>
      <c r="AA311" s="6"/>
      <c r="AB311" s="6"/>
      <c r="AC311" s="3"/>
    </row>
    <row r="312" spans="1:29" ht="15.75" customHeight="1" x14ac:dyDescent="0.2">
      <c r="A312" s="2"/>
      <c r="B312" s="2"/>
      <c r="C312" s="2"/>
      <c r="D312" s="14"/>
      <c r="E312" s="6"/>
      <c r="F312" s="3"/>
      <c r="G312" s="6"/>
      <c r="H312" s="6"/>
      <c r="I312" s="3"/>
      <c r="J312" s="6"/>
      <c r="K312" s="3"/>
      <c r="L312" s="6"/>
      <c r="M312" s="6"/>
      <c r="N312" s="3"/>
      <c r="O312" s="6"/>
      <c r="P312" s="3"/>
      <c r="Q312" s="6"/>
      <c r="R312" s="6"/>
      <c r="S312" s="3"/>
      <c r="T312" s="6"/>
      <c r="U312" s="3"/>
      <c r="V312" s="6"/>
      <c r="W312" s="6"/>
      <c r="X312" s="3"/>
      <c r="Y312" s="6"/>
      <c r="Z312" s="3"/>
      <c r="AA312" s="6"/>
      <c r="AB312" s="6"/>
      <c r="AC312" s="3"/>
    </row>
    <row r="313" spans="1:29" ht="15.75" customHeight="1" x14ac:dyDescent="0.2">
      <c r="A313" s="2"/>
      <c r="B313" s="2"/>
      <c r="C313" s="2"/>
      <c r="D313" s="14"/>
      <c r="E313" s="6"/>
      <c r="F313" s="3"/>
      <c r="G313" s="6"/>
      <c r="H313" s="6"/>
      <c r="I313" s="3"/>
      <c r="J313" s="6"/>
      <c r="K313" s="3"/>
      <c r="L313" s="6"/>
      <c r="M313" s="6"/>
      <c r="N313" s="3"/>
      <c r="O313" s="6"/>
      <c r="P313" s="3"/>
      <c r="Q313" s="6"/>
      <c r="R313" s="6"/>
      <c r="S313" s="3"/>
      <c r="T313" s="6"/>
      <c r="U313" s="3"/>
      <c r="V313" s="6"/>
      <c r="W313" s="6"/>
      <c r="X313" s="3"/>
      <c r="Y313" s="6"/>
      <c r="Z313" s="3"/>
      <c r="AA313" s="6"/>
      <c r="AB313" s="6"/>
      <c r="AC313" s="3"/>
    </row>
    <row r="314" spans="1:29" ht="15.75" customHeight="1" x14ac:dyDescent="0.2">
      <c r="A314" s="2"/>
      <c r="B314" s="2"/>
      <c r="C314" s="2"/>
      <c r="D314" s="14"/>
      <c r="E314" s="6"/>
      <c r="F314" s="3"/>
      <c r="G314" s="6"/>
      <c r="H314" s="6"/>
      <c r="I314" s="3"/>
      <c r="J314" s="6"/>
      <c r="K314" s="3"/>
      <c r="L314" s="6"/>
      <c r="M314" s="6"/>
      <c r="N314" s="3"/>
      <c r="O314" s="6"/>
      <c r="P314" s="3"/>
      <c r="Q314" s="6"/>
      <c r="R314" s="6"/>
      <c r="S314" s="3"/>
      <c r="T314" s="6"/>
      <c r="U314" s="3"/>
      <c r="V314" s="6"/>
      <c r="W314" s="6"/>
      <c r="X314" s="3"/>
      <c r="Y314" s="6"/>
      <c r="Z314" s="3"/>
      <c r="AA314" s="6"/>
      <c r="AB314" s="6"/>
      <c r="AC314" s="3"/>
    </row>
    <row r="315" spans="1:29" ht="15.75" customHeight="1" x14ac:dyDescent="0.2">
      <c r="A315" s="2"/>
      <c r="B315" s="2"/>
      <c r="C315" s="2"/>
      <c r="D315" s="14"/>
      <c r="E315" s="6"/>
      <c r="F315" s="3"/>
      <c r="G315" s="6"/>
      <c r="H315" s="6"/>
      <c r="I315" s="3"/>
      <c r="J315" s="6"/>
      <c r="K315" s="3"/>
      <c r="L315" s="6"/>
      <c r="M315" s="6"/>
      <c r="N315" s="3"/>
      <c r="O315" s="6"/>
      <c r="P315" s="3"/>
      <c r="Q315" s="6"/>
      <c r="R315" s="6"/>
      <c r="S315" s="3"/>
      <c r="T315" s="6"/>
      <c r="U315" s="3"/>
      <c r="V315" s="6"/>
      <c r="W315" s="6"/>
      <c r="X315" s="3"/>
      <c r="Y315" s="6"/>
      <c r="Z315" s="3"/>
      <c r="AA315" s="6"/>
      <c r="AB315" s="6"/>
      <c r="AC315" s="3"/>
    </row>
    <row r="316" spans="1:29" ht="15.75" customHeight="1" x14ac:dyDescent="0.2">
      <c r="A316" s="2"/>
      <c r="B316" s="2"/>
      <c r="C316" s="2"/>
      <c r="D316" s="14"/>
      <c r="E316" s="6"/>
      <c r="F316" s="3"/>
      <c r="G316" s="6"/>
      <c r="H316" s="6"/>
      <c r="I316" s="3"/>
      <c r="J316" s="6"/>
      <c r="K316" s="3"/>
      <c r="L316" s="6"/>
      <c r="M316" s="6"/>
      <c r="N316" s="3"/>
      <c r="O316" s="6"/>
      <c r="P316" s="3"/>
      <c r="Q316" s="6"/>
      <c r="R316" s="6"/>
      <c r="S316" s="3"/>
      <c r="T316" s="6"/>
      <c r="U316" s="3"/>
      <c r="V316" s="6"/>
      <c r="W316" s="6"/>
      <c r="X316" s="3"/>
      <c r="Y316" s="6"/>
      <c r="Z316" s="3"/>
      <c r="AA316" s="6"/>
      <c r="AB316" s="6"/>
      <c r="AC316" s="3"/>
    </row>
    <row r="317" spans="1:29" ht="15.75" customHeight="1" x14ac:dyDescent="0.2">
      <c r="A317" s="2"/>
      <c r="B317" s="2"/>
      <c r="C317" s="2"/>
      <c r="D317" s="14"/>
      <c r="E317" s="6"/>
      <c r="F317" s="3"/>
      <c r="G317" s="6"/>
      <c r="H317" s="6"/>
      <c r="I317" s="3"/>
      <c r="J317" s="6"/>
      <c r="K317" s="3"/>
      <c r="L317" s="6"/>
      <c r="M317" s="6"/>
      <c r="N317" s="3"/>
      <c r="O317" s="6"/>
      <c r="P317" s="3"/>
      <c r="Q317" s="6"/>
      <c r="R317" s="6"/>
      <c r="S317" s="3"/>
      <c r="T317" s="6"/>
      <c r="U317" s="3"/>
      <c r="V317" s="6"/>
      <c r="W317" s="6"/>
      <c r="X317" s="3"/>
      <c r="Y317" s="6"/>
      <c r="Z317" s="3"/>
      <c r="AA317" s="6"/>
      <c r="AB317" s="6"/>
      <c r="AC317" s="3"/>
    </row>
    <row r="318" spans="1:29" ht="15.75" customHeight="1" x14ac:dyDescent="0.2">
      <c r="A318" s="2"/>
      <c r="B318" s="2"/>
      <c r="C318" s="2"/>
      <c r="D318" s="14"/>
      <c r="E318" s="6"/>
      <c r="F318" s="3"/>
      <c r="G318" s="6"/>
      <c r="H318" s="6"/>
      <c r="I318" s="3"/>
      <c r="J318" s="6"/>
      <c r="K318" s="3"/>
      <c r="L318" s="6"/>
      <c r="M318" s="6"/>
      <c r="N318" s="3"/>
      <c r="O318" s="6"/>
      <c r="P318" s="3"/>
      <c r="Q318" s="6"/>
      <c r="R318" s="6"/>
      <c r="S318" s="3"/>
      <c r="T318" s="6"/>
      <c r="U318" s="3"/>
      <c r="V318" s="6"/>
      <c r="W318" s="6"/>
      <c r="X318" s="3"/>
      <c r="Y318" s="6"/>
      <c r="Z318" s="3"/>
      <c r="AA318" s="6"/>
      <c r="AB318" s="6"/>
      <c r="AC318" s="3"/>
    </row>
    <row r="319" spans="1:29" ht="15.75" customHeight="1" x14ac:dyDescent="0.2">
      <c r="A319" s="2"/>
      <c r="B319" s="2"/>
      <c r="C319" s="2"/>
      <c r="D319" s="14"/>
      <c r="E319" s="6"/>
      <c r="F319" s="3"/>
      <c r="G319" s="6"/>
      <c r="H319" s="6"/>
      <c r="I319" s="3"/>
      <c r="J319" s="6"/>
      <c r="K319" s="3"/>
      <c r="L319" s="6"/>
      <c r="M319" s="6"/>
      <c r="N319" s="3"/>
      <c r="O319" s="6"/>
      <c r="P319" s="3"/>
      <c r="Q319" s="6"/>
      <c r="R319" s="6"/>
      <c r="S319" s="3"/>
      <c r="T319" s="6"/>
      <c r="U319" s="3"/>
      <c r="V319" s="6"/>
      <c r="W319" s="6"/>
      <c r="X319" s="3"/>
      <c r="Y319" s="6"/>
      <c r="Z319" s="3"/>
      <c r="AA319" s="6"/>
      <c r="AB319" s="6"/>
      <c r="AC319" s="3"/>
    </row>
    <row r="320" spans="1:29" ht="15.75" customHeight="1" x14ac:dyDescent="0.2">
      <c r="A320" s="2"/>
      <c r="B320" s="2"/>
      <c r="C320" s="2"/>
      <c r="D320" s="14"/>
      <c r="E320" s="6"/>
      <c r="F320" s="3"/>
      <c r="G320" s="6"/>
      <c r="H320" s="6"/>
      <c r="I320" s="3"/>
      <c r="J320" s="6"/>
      <c r="K320" s="3"/>
      <c r="L320" s="6"/>
      <c r="M320" s="6"/>
      <c r="N320" s="3"/>
      <c r="O320" s="6"/>
      <c r="P320" s="3"/>
      <c r="Q320" s="6"/>
      <c r="R320" s="6"/>
      <c r="S320" s="3"/>
      <c r="T320" s="6"/>
      <c r="U320" s="3"/>
      <c r="V320" s="6"/>
      <c r="W320" s="6"/>
      <c r="X320" s="3"/>
      <c r="Y320" s="6"/>
      <c r="Z320" s="3"/>
      <c r="AA320" s="6"/>
      <c r="AB320" s="6"/>
      <c r="AC320" s="3"/>
    </row>
    <row r="321" spans="1:29" ht="15.75" customHeight="1" x14ac:dyDescent="0.2">
      <c r="A321" s="2"/>
      <c r="B321" s="2"/>
      <c r="C321" s="2"/>
      <c r="D321" s="14"/>
      <c r="E321" s="6"/>
      <c r="F321" s="3"/>
      <c r="G321" s="6"/>
      <c r="H321" s="6"/>
      <c r="I321" s="3"/>
      <c r="J321" s="6"/>
      <c r="K321" s="3"/>
      <c r="L321" s="6"/>
      <c r="M321" s="6"/>
      <c r="N321" s="3"/>
      <c r="O321" s="6"/>
      <c r="P321" s="3"/>
      <c r="Q321" s="6"/>
      <c r="R321" s="6"/>
      <c r="S321" s="3"/>
      <c r="T321" s="6"/>
      <c r="U321" s="3"/>
      <c r="V321" s="6"/>
      <c r="W321" s="6"/>
      <c r="X321" s="3"/>
      <c r="Y321" s="6"/>
      <c r="Z321" s="3"/>
      <c r="AA321" s="6"/>
      <c r="AB321" s="6"/>
      <c r="AC321" s="3"/>
    </row>
    <row r="322" spans="1:29" ht="15.75" customHeight="1" x14ac:dyDescent="0.2">
      <c r="A322" s="2"/>
      <c r="B322" s="2"/>
      <c r="C322" s="2"/>
      <c r="D322" s="14"/>
      <c r="E322" s="6"/>
      <c r="F322" s="3"/>
      <c r="G322" s="6"/>
      <c r="H322" s="6"/>
      <c r="I322" s="3"/>
      <c r="J322" s="6"/>
      <c r="K322" s="3"/>
      <c r="L322" s="6"/>
      <c r="M322" s="6"/>
      <c r="N322" s="3"/>
      <c r="O322" s="6"/>
      <c r="P322" s="3"/>
      <c r="Q322" s="6"/>
      <c r="R322" s="6"/>
      <c r="S322" s="3"/>
      <c r="T322" s="6"/>
      <c r="U322" s="3"/>
      <c r="V322" s="6"/>
      <c r="W322" s="6"/>
      <c r="X322" s="3"/>
      <c r="Y322" s="6"/>
      <c r="Z322" s="3"/>
      <c r="AA322" s="6"/>
      <c r="AB322" s="6"/>
      <c r="AC322" s="3"/>
    </row>
    <row r="323" spans="1:29" ht="15.75" customHeight="1" x14ac:dyDescent="0.2">
      <c r="A323" s="2"/>
      <c r="B323" s="2"/>
      <c r="C323" s="2"/>
      <c r="D323" s="14"/>
      <c r="E323" s="6"/>
      <c r="F323" s="3"/>
      <c r="G323" s="6"/>
      <c r="H323" s="6"/>
      <c r="I323" s="3"/>
      <c r="J323" s="6"/>
      <c r="K323" s="3"/>
      <c r="L323" s="6"/>
      <c r="M323" s="6"/>
      <c r="N323" s="3"/>
      <c r="O323" s="6"/>
      <c r="P323" s="3"/>
      <c r="Q323" s="6"/>
      <c r="R323" s="6"/>
      <c r="S323" s="3"/>
      <c r="T323" s="6"/>
      <c r="U323" s="3"/>
      <c r="V323" s="6"/>
      <c r="W323" s="6"/>
      <c r="X323" s="3"/>
      <c r="Y323" s="6"/>
      <c r="Z323" s="3"/>
      <c r="AA323" s="6"/>
      <c r="AB323" s="6"/>
      <c r="AC323" s="3"/>
    </row>
    <row r="324" spans="1:29" ht="15.75" customHeight="1" x14ac:dyDescent="0.2">
      <c r="A324" s="2"/>
      <c r="B324" s="2"/>
      <c r="C324" s="2"/>
      <c r="D324" s="14"/>
      <c r="E324" s="6"/>
      <c r="F324" s="3"/>
      <c r="G324" s="6"/>
      <c r="H324" s="6"/>
      <c r="I324" s="3"/>
      <c r="J324" s="6"/>
      <c r="K324" s="3"/>
      <c r="L324" s="6"/>
      <c r="M324" s="6"/>
      <c r="N324" s="3"/>
      <c r="O324" s="6"/>
      <c r="P324" s="3"/>
      <c r="Q324" s="6"/>
      <c r="R324" s="6"/>
      <c r="S324" s="3"/>
      <c r="T324" s="6"/>
      <c r="U324" s="3"/>
      <c r="V324" s="6"/>
      <c r="W324" s="6"/>
      <c r="X324" s="3"/>
      <c r="Y324" s="6"/>
      <c r="Z324" s="3"/>
      <c r="AA324" s="6"/>
      <c r="AB324" s="6"/>
      <c r="AC324" s="3"/>
    </row>
    <row r="325" spans="1:29" ht="15.75" customHeight="1" x14ac:dyDescent="0.2">
      <c r="A325" s="2"/>
      <c r="B325" s="2"/>
      <c r="C325" s="2"/>
      <c r="D325" s="14"/>
      <c r="E325" s="6"/>
      <c r="F325" s="3"/>
      <c r="G325" s="6"/>
      <c r="H325" s="6"/>
      <c r="I325" s="3"/>
      <c r="J325" s="6"/>
      <c r="K325" s="3"/>
      <c r="L325" s="6"/>
      <c r="M325" s="6"/>
      <c r="N325" s="3"/>
      <c r="O325" s="6"/>
      <c r="P325" s="3"/>
      <c r="Q325" s="6"/>
      <c r="R325" s="6"/>
      <c r="S325" s="3"/>
      <c r="T325" s="6"/>
      <c r="U325" s="3"/>
      <c r="V325" s="6"/>
      <c r="W325" s="6"/>
      <c r="X325" s="3"/>
      <c r="Y325" s="6"/>
      <c r="Z325" s="3"/>
      <c r="AA325" s="6"/>
      <c r="AB325" s="6"/>
      <c r="AC325" s="3"/>
    </row>
    <row r="326" spans="1:29" ht="15.75" customHeight="1" x14ac:dyDescent="0.2">
      <c r="A326" s="2"/>
      <c r="B326" s="2"/>
      <c r="C326" s="2"/>
      <c r="D326" s="14"/>
      <c r="E326" s="6"/>
      <c r="F326" s="3"/>
      <c r="G326" s="6"/>
      <c r="H326" s="6"/>
      <c r="I326" s="3"/>
      <c r="J326" s="6"/>
      <c r="K326" s="3"/>
      <c r="L326" s="6"/>
      <c r="M326" s="6"/>
      <c r="N326" s="3"/>
      <c r="O326" s="6"/>
      <c r="P326" s="3"/>
      <c r="Q326" s="6"/>
      <c r="R326" s="6"/>
      <c r="S326" s="3"/>
      <c r="T326" s="6"/>
      <c r="U326" s="3"/>
      <c r="V326" s="6"/>
      <c r="W326" s="6"/>
      <c r="X326" s="3"/>
      <c r="Y326" s="6"/>
      <c r="Z326" s="3"/>
      <c r="AA326" s="6"/>
      <c r="AB326" s="6"/>
      <c r="AC326" s="3"/>
    </row>
    <row r="327" spans="1:29" ht="15.75" customHeight="1" x14ac:dyDescent="0.2">
      <c r="A327" s="2"/>
      <c r="B327" s="2"/>
      <c r="C327" s="2"/>
      <c r="D327" s="14"/>
      <c r="E327" s="6"/>
      <c r="F327" s="3"/>
      <c r="G327" s="6"/>
      <c r="H327" s="6"/>
      <c r="I327" s="3"/>
      <c r="J327" s="6"/>
      <c r="K327" s="3"/>
      <c r="L327" s="6"/>
      <c r="M327" s="6"/>
      <c r="N327" s="3"/>
      <c r="O327" s="6"/>
      <c r="P327" s="3"/>
      <c r="Q327" s="6"/>
      <c r="R327" s="6"/>
      <c r="S327" s="3"/>
      <c r="T327" s="6"/>
      <c r="U327" s="3"/>
      <c r="V327" s="6"/>
      <c r="W327" s="6"/>
      <c r="X327" s="3"/>
      <c r="Y327" s="6"/>
      <c r="Z327" s="3"/>
      <c r="AA327" s="6"/>
      <c r="AB327" s="6"/>
      <c r="AC327" s="3"/>
    </row>
    <row r="328" spans="1:29" ht="15.75" customHeight="1" x14ac:dyDescent="0.2">
      <c r="A328" s="2"/>
      <c r="B328" s="2"/>
      <c r="C328" s="2"/>
      <c r="D328" s="14"/>
      <c r="E328" s="6"/>
      <c r="F328" s="3"/>
      <c r="G328" s="6"/>
      <c r="H328" s="6"/>
      <c r="I328" s="3"/>
      <c r="J328" s="6"/>
      <c r="K328" s="3"/>
      <c r="L328" s="6"/>
      <c r="M328" s="6"/>
      <c r="N328" s="3"/>
      <c r="O328" s="6"/>
      <c r="P328" s="3"/>
      <c r="Q328" s="6"/>
      <c r="R328" s="6"/>
      <c r="S328" s="3"/>
      <c r="T328" s="6"/>
      <c r="U328" s="3"/>
      <c r="V328" s="6"/>
      <c r="W328" s="6"/>
      <c r="X328" s="3"/>
      <c r="Y328" s="6"/>
      <c r="Z328" s="3"/>
      <c r="AA328" s="6"/>
      <c r="AB328" s="6"/>
      <c r="AC328" s="3"/>
    </row>
    <row r="329" spans="1:29" ht="15.75" customHeight="1" x14ac:dyDescent="0.2">
      <c r="A329" s="2"/>
      <c r="B329" s="2"/>
      <c r="C329" s="2"/>
      <c r="D329" s="14"/>
      <c r="E329" s="6"/>
      <c r="F329" s="3"/>
      <c r="G329" s="6"/>
      <c r="H329" s="6"/>
      <c r="I329" s="3"/>
      <c r="J329" s="6"/>
      <c r="K329" s="3"/>
      <c r="L329" s="6"/>
      <c r="M329" s="6"/>
      <c r="N329" s="3"/>
      <c r="O329" s="6"/>
      <c r="P329" s="3"/>
      <c r="Q329" s="6"/>
      <c r="R329" s="6"/>
      <c r="S329" s="3"/>
      <c r="T329" s="6"/>
      <c r="U329" s="3"/>
      <c r="V329" s="6"/>
      <c r="W329" s="6"/>
      <c r="X329" s="3"/>
      <c r="Y329" s="6"/>
      <c r="Z329" s="3"/>
      <c r="AA329" s="6"/>
      <c r="AB329" s="6"/>
      <c r="AC329" s="3"/>
    </row>
    <row r="330" spans="1:29" ht="15.75" customHeight="1" x14ac:dyDescent="0.2">
      <c r="A330" s="2"/>
      <c r="B330" s="2"/>
      <c r="C330" s="2"/>
      <c r="D330" s="14"/>
      <c r="E330" s="6"/>
      <c r="F330" s="3"/>
      <c r="G330" s="6"/>
      <c r="H330" s="6"/>
      <c r="I330" s="3"/>
      <c r="J330" s="6"/>
      <c r="K330" s="3"/>
      <c r="L330" s="6"/>
      <c r="M330" s="6"/>
      <c r="N330" s="3"/>
      <c r="O330" s="6"/>
      <c r="P330" s="3"/>
      <c r="Q330" s="6"/>
      <c r="R330" s="6"/>
      <c r="S330" s="3"/>
      <c r="T330" s="6"/>
      <c r="U330" s="3"/>
      <c r="V330" s="6"/>
      <c r="W330" s="6"/>
      <c r="X330" s="3"/>
      <c r="Y330" s="6"/>
      <c r="Z330" s="3"/>
      <c r="AA330" s="6"/>
      <c r="AB330" s="6"/>
      <c r="AC330" s="3"/>
    </row>
    <row r="331" spans="1:29" ht="15.75" customHeight="1" x14ac:dyDescent="0.2">
      <c r="A331" s="2"/>
      <c r="B331" s="2"/>
      <c r="C331" s="2"/>
      <c r="D331" s="14"/>
      <c r="E331" s="6"/>
      <c r="F331" s="3"/>
      <c r="G331" s="6"/>
      <c r="H331" s="6"/>
      <c r="I331" s="3"/>
      <c r="J331" s="6"/>
      <c r="K331" s="3"/>
      <c r="L331" s="6"/>
      <c r="M331" s="6"/>
      <c r="N331" s="3"/>
      <c r="O331" s="6"/>
      <c r="P331" s="3"/>
      <c r="Q331" s="6"/>
      <c r="R331" s="6"/>
      <c r="S331" s="3"/>
      <c r="T331" s="6"/>
      <c r="U331" s="3"/>
      <c r="V331" s="6"/>
      <c r="W331" s="6"/>
      <c r="X331" s="3"/>
      <c r="Y331" s="6"/>
      <c r="Z331" s="3"/>
      <c r="AA331" s="6"/>
      <c r="AB331" s="6"/>
      <c r="AC331" s="3"/>
    </row>
    <row r="332" spans="1:29" ht="15.75" customHeight="1" x14ac:dyDescent="0.2">
      <c r="A332" s="2"/>
      <c r="B332" s="2"/>
      <c r="C332" s="2"/>
      <c r="D332" s="14"/>
      <c r="E332" s="6"/>
      <c r="F332" s="3"/>
      <c r="G332" s="6"/>
      <c r="H332" s="6"/>
      <c r="I332" s="3"/>
      <c r="J332" s="6"/>
      <c r="K332" s="3"/>
      <c r="L332" s="6"/>
      <c r="M332" s="6"/>
      <c r="N332" s="3"/>
      <c r="O332" s="6"/>
      <c r="P332" s="3"/>
      <c r="Q332" s="6"/>
      <c r="R332" s="6"/>
      <c r="S332" s="3"/>
      <c r="T332" s="6"/>
      <c r="U332" s="3"/>
      <c r="V332" s="6"/>
      <c r="W332" s="6"/>
      <c r="X332" s="3"/>
      <c r="Y332" s="6"/>
      <c r="Z332" s="3"/>
      <c r="AA332" s="6"/>
      <c r="AB332" s="6"/>
      <c r="AC332" s="3"/>
    </row>
    <row r="333" spans="1:29" ht="15.75" customHeight="1" x14ac:dyDescent="0.2">
      <c r="A333" s="2"/>
      <c r="B333" s="2"/>
      <c r="C333" s="2"/>
      <c r="D333" s="14"/>
      <c r="E333" s="6"/>
      <c r="F333" s="3"/>
      <c r="G333" s="6"/>
      <c r="H333" s="6"/>
      <c r="I333" s="3"/>
      <c r="J333" s="6"/>
      <c r="K333" s="3"/>
      <c r="L333" s="6"/>
      <c r="M333" s="6"/>
      <c r="N333" s="3"/>
      <c r="O333" s="6"/>
      <c r="P333" s="3"/>
      <c r="Q333" s="6"/>
      <c r="R333" s="6"/>
      <c r="S333" s="3"/>
      <c r="T333" s="6"/>
      <c r="U333" s="3"/>
      <c r="V333" s="6"/>
      <c r="W333" s="6"/>
      <c r="X333" s="3"/>
      <c r="Y333" s="6"/>
      <c r="Z333" s="3"/>
      <c r="AA333" s="6"/>
      <c r="AB333" s="6"/>
      <c r="AC333" s="3"/>
    </row>
    <row r="334" spans="1:29" ht="15.75" customHeight="1" x14ac:dyDescent="0.2">
      <c r="A334" s="2"/>
      <c r="B334" s="2"/>
      <c r="C334" s="2"/>
      <c r="D334" s="14"/>
      <c r="E334" s="6"/>
      <c r="F334" s="3"/>
      <c r="G334" s="6"/>
      <c r="H334" s="6"/>
      <c r="I334" s="3"/>
      <c r="J334" s="6"/>
      <c r="K334" s="3"/>
      <c r="L334" s="6"/>
      <c r="M334" s="6"/>
      <c r="N334" s="3"/>
      <c r="O334" s="6"/>
      <c r="P334" s="3"/>
      <c r="Q334" s="6"/>
      <c r="R334" s="6"/>
      <c r="S334" s="3"/>
      <c r="T334" s="6"/>
      <c r="U334" s="3"/>
      <c r="V334" s="6"/>
      <c r="W334" s="6"/>
      <c r="X334" s="3"/>
      <c r="Y334" s="6"/>
      <c r="Z334" s="3"/>
      <c r="AA334" s="6"/>
      <c r="AB334" s="6"/>
      <c r="AC334" s="3"/>
    </row>
    <row r="335" spans="1:29" ht="15.75" customHeight="1" x14ac:dyDescent="0.2">
      <c r="A335" s="2"/>
      <c r="B335" s="2"/>
      <c r="C335" s="2"/>
      <c r="D335" s="14"/>
      <c r="E335" s="6"/>
      <c r="F335" s="3"/>
      <c r="G335" s="6"/>
      <c r="H335" s="6"/>
      <c r="I335" s="3"/>
      <c r="J335" s="6"/>
      <c r="K335" s="3"/>
      <c r="L335" s="6"/>
      <c r="M335" s="6"/>
      <c r="N335" s="3"/>
      <c r="O335" s="6"/>
      <c r="P335" s="3"/>
      <c r="Q335" s="6"/>
      <c r="R335" s="6"/>
      <c r="S335" s="3"/>
      <c r="T335" s="6"/>
      <c r="U335" s="3"/>
      <c r="V335" s="6"/>
      <c r="W335" s="6"/>
      <c r="X335" s="3"/>
      <c r="Y335" s="6"/>
      <c r="Z335" s="3"/>
      <c r="AA335" s="6"/>
      <c r="AB335" s="6"/>
      <c r="AC335" s="3"/>
    </row>
    <row r="336" spans="1:29" ht="15.75" customHeight="1" x14ac:dyDescent="0.2">
      <c r="A336" s="2"/>
      <c r="B336" s="2"/>
      <c r="C336" s="2"/>
      <c r="D336" s="14"/>
      <c r="E336" s="6"/>
      <c r="F336" s="3"/>
      <c r="G336" s="6"/>
      <c r="H336" s="6"/>
      <c r="I336" s="3"/>
      <c r="J336" s="6"/>
      <c r="K336" s="3"/>
      <c r="L336" s="6"/>
      <c r="M336" s="6"/>
      <c r="N336" s="3"/>
      <c r="O336" s="6"/>
      <c r="P336" s="3"/>
      <c r="Q336" s="6"/>
      <c r="R336" s="6"/>
      <c r="S336" s="3"/>
      <c r="T336" s="6"/>
      <c r="U336" s="3"/>
      <c r="V336" s="6"/>
      <c r="W336" s="6"/>
      <c r="X336" s="3"/>
      <c r="Y336" s="6"/>
      <c r="Z336" s="3"/>
      <c r="AA336" s="6"/>
      <c r="AB336" s="6"/>
      <c r="AC336" s="3"/>
    </row>
    <row r="337" spans="1:29" ht="15.75" customHeight="1" x14ac:dyDescent="0.2">
      <c r="A337" s="2"/>
      <c r="B337" s="2"/>
      <c r="C337" s="2"/>
      <c r="D337" s="14"/>
      <c r="E337" s="6"/>
      <c r="F337" s="3"/>
      <c r="G337" s="6"/>
      <c r="H337" s="6"/>
      <c r="I337" s="3"/>
      <c r="J337" s="6"/>
      <c r="K337" s="3"/>
      <c r="L337" s="6"/>
      <c r="M337" s="6"/>
      <c r="N337" s="3"/>
      <c r="O337" s="6"/>
      <c r="P337" s="3"/>
      <c r="Q337" s="6"/>
      <c r="R337" s="6"/>
      <c r="S337" s="3"/>
      <c r="T337" s="6"/>
      <c r="U337" s="3"/>
      <c r="V337" s="6"/>
      <c r="W337" s="6"/>
      <c r="X337" s="3"/>
      <c r="Y337" s="6"/>
      <c r="Z337" s="3"/>
      <c r="AA337" s="6"/>
      <c r="AB337" s="6"/>
      <c r="AC337" s="3"/>
    </row>
    <row r="338" spans="1:29" ht="15.75" customHeight="1" x14ac:dyDescent="0.2">
      <c r="A338" s="2"/>
      <c r="B338" s="2"/>
      <c r="C338" s="2"/>
      <c r="D338" s="14"/>
      <c r="E338" s="6"/>
      <c r="F338" s="3"/>
      <c r="G338" s="6"/>
      <c r="H338" s="6"/>
      <c r="I338" s="3"/>
      <c r="J338" s="6"/>
      <c r="K338" s="3"/>
      <c r="L338" s="6"/>
      <c r="M338" s="6"/>
      <c r="N338" s="3"/>
      <c r="O338" s="6"/>
      <c r="P338" s="3"/>
      <c r="Q338" s="6"/>
      <c r="R338" s="6"/>
      <c r="S338" s="3"/>
      <c r="T338" s="6"/>
      <c r="U338" s="3"/>
      <c r="V338" s="6"/>
      <c r="W338" s="6"/>
      <c r="X338" s="3"/>
      <c r="Y338" s="6"/>
      <c r="Z338" s="3"/>
      <c r="AA338" s="6"/>
      <c r="AB338" s="6"/>
      <c r="AC338" s="3"/>
    </row>
    <row r="339" spans="1:29" ht="15.75" customHeight="1" x14ac:dyDescent="0.2">
      <c r="A339" s="2"/>
      <c r="B339" s="2"/>
      <c r="C339" s="2"/>
      <c r="D339" s="14"/>
      <c r="E339" s="6"/>
      <c r="F339" s="3"/>
      <c r="G339" s="6"/>
      <c r="H339" s="6"/>
      <c r="I339" s="3"/>
      <c r="J339" s="6"/>
      <c r="K339" s="3"/>
      <c r="L339" s="6"/>
      <c r="M339" s="6"/>
      <c r="N339" s="3"/>
      <c r="O339" s="6"/>
      <c r="P339" s="3"/>
      <c r="Q339" s="6"/>
      <c r="R339" s="6"/>
      <c r="S339" s="3"/>
      <c r="T339" s="6"/>
      <c r="U339" s="3"/>
      <c r="V339" s="6"/>
      <c r="W339" s="6"/>
      <c r="X339" s="3"/>
      <c r="Y339" s="6"/>
      <c r="Z339" s="3"/>
      <c r="AA339" s="6"/>
      <c r="AB339" s="6"/>
      <c r="AC339" s="3"/>
    </row>
    <row r="340" spans="1:29" ht="15.75" customHeight="1" x14ac:dyDescent="0.2">
      <c r="A340" s="2"/>
      <c r="B340" s="2"/>
      <c r="C340" s="2"/>
      <c r="D340" s="14"/>
      <c r="E340" s="6"/>
      <c r="F340" s="3"/>
      <c r="G340" s="6"/>
      <c r="H340" s="6"/>
      <c r="I340" s="3"/>
      <c r="J340" s="6"/>
      <c r="K340" s="3"/>
      <c r="L340" s="6"/>
      <c r="M340" s="6"/>
      <c r="N340" s="3"/>
      <c r="O340" s="6"/>
      <c r="P340" s="3"/>
      <c r="Q340" s="6"/>
      <c r="R340" s="6"/>
      <c r="S340" s="3"/>
      <c r="T340" s="6"/>
      <c r="U340" s="3"/>
      <c r="V340" s="6"/>
      <c r="W340" s="6"/>
      <c r="X340" s="3"/>
      <c r="Y340" s="6"/>
      <c r="Z340" s="3"/>
      <c r="AA340" s="6"/>
      <c r="AB340" s="6"/>
      <c r="AC340" s="3"/>
    </row>
    <row r="341" spans="1:29" ht="15.75" customHeight="1" x14ac:dyDescent="0.2">
      <c r="A341" s="2"/>
      <c r="B341" s="2"/>
      <c r="C341" s="2"/>
      <c r="D341" s="14"/>
      <c r="E341" s="6"/>
      <c r="F341" s="3"/>
      <c r="G341" s="6"/>
      <c r="H341" s="6"/>
      <c r="I341" s="3"/>
      <c r="J341" s="6"/>
      <c r="K341" s="3"/>
      <c r="L341" s="6"/>
      <c r="M341" s="6"/>
      <c r="N341" s="3"/>
      <c r="O341" s="6"/>
      <c r="P341" s="3"/>
      <c r="Q341" s="6"/>
      <c r="R341" s="6"/>
      <c r="S341" s="3"/>
      <c r="T341" s="6"/>
      <c r="U341" s="3"/>
      <c r="V341" s="6"/>
      <c r="W341" s="6"/>
      <c r="X341" s="3"/>
      <c r="Y341" s="6"/>
      <c r="Z341" s="3"/>
      <c r="AA341" s="6"/>
      <c r="AB341" s="6"/>
      <c r="AC341" s="3"/>
    </row>
    <row r="342" spans="1:29" ht="15.75" customHeight="1" x14ac:dyDescent="0.2">
      <c r="A342" s="2"/>
      <c r="B342" s="2"/>
      <c r="C342" s="2"/>
      <c r="D342" s="14"/>
      <c r="E342" s="6"/>
      <c r="F342" s="3"/>
      <c r="G342" s="6"/>
      <c r="H342" s="6"/>
      <c r="I342" s="3"/>
      <c r="J342" s="6"/>
      <c r="K342" s="3"/>
      <c r="L342" s="6"/>
      <c r="M342" s="6"/>
      <c r="N342" s="3"/>
      <c r="O342" s="6"/>
      <c r="P342" s="3"/>
      <c r="Q342" s="6"/>
      <c r="R342" s="6"/>
      <c r="S342" s="3"/>
      <c r="T342" s="6"/>
      <c r="U342" s="3"/>
      <c r="V342" s="6"/>
      <c r="W342" s="6"/>
      <c r="X342" s="3"/>
      <c r="Y342" s="6"/>
      <c r="Z342" s="3"/>
      <c r="AA342" s="6"/>
      <c r="AB342" s="6"/>
      <c r="AC342" s="3"/>
    </row>
    <row r="343" spans="1:29" ht="15.75" customHeight="1" x14ac:dyDescent="0.2">
      <c r="A343" s="2"/>
      <c r="B343" s="2"/>
      <c r="C343" s="2"/>
      <c r="D343" s="14"/>
      <c r="E343" s="6"/>
      <c r="F343" s="3"/>
      <c r="G343" s="6"/>
      <c r="H343" s="6"/>
      <c r="I343" s="3"/>
      <c r="J343" s="6"/>
      <c r="K343" s="3"/>
      <c r="L343" s="6"/>
      <c r="M343" s="6"/>
      <c r="N343" s="3"/>
      <c r="O343" s="6"/>
      <c r="P343" s="3"/>
      <c r="Q343" s="6"/>
      <c r="R343" s="6"/>
      <c r="S343" s="3"/>
      <c r="T343" s="6"/>
      <c r="U343" s="3"/>
      <c r="V343" s="6"/>
      <c r="W343" s="6"/>
      <c r="X343" s="3"/>
      <c r="Y343" s="6"/>
      <c r="Z343" s="3"/>
      <c r="AA343" s="6"/>
      <c r="AB343" s="6"/>
      <c r="AC343" s="3"/>
    </row>
    <row r="344" spans="1:29" ht="15.75" customHeight="1" x14ac:dyDescent="0.2">
      <c r="A344" s="2"/>
      <c r="B344" s="2"/>
      <c r="C344" s="2"/>
      <c r="D344" s="14"/>
      <c r="E344" s="6"/>
      <c r="F344" s="3"/>
      <c r="G344" s="6"/>
      <c r="H344" s="6"/>
      <c r="I344" s="3"/>
      <c r="J344" s="6"/>
      <c r="K344" s="3"/>
      <c r="L344" s="6"/>
      <c r="M344" s="6"/>
      <c r="N344" s="3"/>
      <c r="O344" s="6"/>
      <c r="P344" s="3"/>
      <c r="Q344" s="6"/>
      <c r="R344" s="6"/>
      <c r="S344" s="3"/>
      <c r="T344" s="6"/>
      <c r="U344" s="3"/>
      <c r="V344" s="6"/>
      <c r="W344" s="6"/>
      <c r="X344" s="3"/>
      <c r="Y344" s="6"/>
      <c r="Z344" s="3"/>
      <c r="AA344" s="6"/>
      <c r="AB344" s="6"/>
      <c r="AC344" s="3"/>
    </row>
    <row r="345" spans="1:29" ht="15.75" customHeight="1" x14ac:dyDescent="0.2">
      <c r="A345" s="2"/>
      <c r="B345" s="2"/>
      <c r="C345" s="2"/>
      <c r="D345" s="14"/>
      <c r="E345" s="6"/>
      <c r="F345" s="3"/>
      <c r="G345" s="6"/>
      <c r="H345" s="6"/>
      <c r="I345" s="3"/>
      <c r="J345" s="6"/>
      <c r="K345" s="3"/>
      <c r="L345" s="6"/>
      <c r="M345" s="6"/>
      <c r="N345" s="3"/>
      <c r="O345" s="6"/>
      <c r="P345" s="3"/>
      <c r="Q345" s="6"/>
      <c r="R345" s="6"/>
      <c r="S345" s="3"/>
      <c r="T345" s="6"/>
      <c r="U345" s="3"/>
      <c r="V345" s="6"/>
      <c r="W345" s="6"/>
      <c r="X345" s="3"/>
      <c r="Y345" s="6"/>
      <c r="Z345" s="3"/>
      <c r="AA345" s="6"/>
      <c r="AB345" s="6"/>
      <c r="AC345" s="3"/>
    </row>
    <row r="346" spans="1:29" ht="15.75" customHeight="1" x14ac:dyDescent="0.2">
      <c r="A346" s="2"/>
      <c r="B346" s="2"/>
      <c r="C346" s="2"/>
      <c r="D346" s="14"/>
      <c r="E346" s="6"/>
      <c r="F346" s="3"/>
      <c r="G346" s="6"/>
      <c r="H346" s="6"/>
      <c r="I346" s="3"/>
      <c r="J346" s="6"/>
      <c r="K346" s="3"/>
      <c r="L346" s="6"/>
      <c r="M346" s="6"/>
      <c r="N346" s="3"/>
      <c r="O346" s="6"/>
      <c r="P346" s="3"/>
      <c r="Q346" s="6"/>
      <c r="R346" s="6"/>
      <c r="S346" s="3"/>
      <c r="T346" s="6"/>
      <c r="U346" s="3"/>
      <c r="V346" s="6"/>
      <c r="W346" s="6"/>
      <c r="X346" s="3"/>
      <c r="Y346" s="6"/>
      <c r="Z346" s="3"/>
      <c r="AA346" s="6"/>
      <c r="AB346" s="6"/>
      <c r="AC346" s="3"/>
    </row>
    <row r="347" spans="1:29" ht="15.75" customHeight="1" x14ac:dyDescent="0.2">
      <c r="A347" s="2"/>
      <c r="B347" s="2"/>
      <c r="C347" s="2"/>
      <c r="D347" s="14"/>
      <c r="E347" s="6"/>
      <c r="F347" s="3"/>
      <c r="G347" s="6"/>
      <c r="H347" s="6"/>
      <c r="I347" s="3"/>
      <c r="J347" s="6"/>
      <c r="K347" s="3"/>
      <c r="L347" s="6"/>
      <c r="M347" s="6"/>
      <c r="N347" s="3"/>
      <c r="O347" s="6"/>
      <c r="P347" s="3"/>
      <c r="Q347" s="6"/>
      <c r="R347" s="6"/>
      <c r="S347" s="3"/>
      <c r="T347" s="6"/>
      <c r="U347" s="3"/>
      <c r="V347" s="6"/>
      <c r="W347" s="6"/>
      <c r="X347" s="3"/>
      <c r="Y347" s="6"/>
      <c r="Z347" s="3"/>
      <c r="AA347" s="6"/>
      <c r="AB347" s="6"/>
      <c r="AC347" s="3"/>
    </row>
    <row r="348" spans="1:29" ht="15.75" customHeight="1" x14ac:dyDescent="0.2">
      <c r="A348" s="2"/>
      <c r="B348" s="2"/>
      <c r="C348" s="2"/>
      <c r="D348" s="14"/>
      <c r="E348" s="6"/>
      <c r="F348" s="3"/>
      <c r="G348" s="6"/>
      <c r="H348" s="6"/>
      <c r="I348" s="3"/>
      <c r="J348" s="6"/>
      <c r="K348" s="3"/>
      <c r="L348" s="6"/>
      <c r="M348" s="6"/>
      <c r="N348" s="3"/>
      <c r="O348" s="6"/>
      <c r="P348" s="3"/>
      <c r="Q348" s="6"/>
      <c r="R348" s="6"/>
      <c r="S348" s="3"/>
      <c r="T348" s="6"/>
      <c r="U348" s="3"/>
      <c r="V348" s="6"/>
      <c r="W348" s="6"/>
      <c r="X348" s="3"/>
      <c r="Y348" s="6"/>
      <c r="Z348" s="3"/>
      <c r="AA348" s="6"/>
      <c r="AB348" s="6"/>
      <c r="AC348" s="3"/>
    </row>
    <row r="349" spans="1:29" ht="15.75" customHeight="1" x14ac:dyDescent="0.2">
      <c r="A349" s="2"/>
      <c r="B349" s="2"/>
      <c r="C349" s="2"/>
      <c r="D349" s="14"/>
      <c r="E349" s="6"/>
      <c r="F349" s="3"/>
      <c r="G349" s="6"/>
      <c r="H349" s="6"/>
      <c r="I349" s="3"/>
      <c r="J349" s="6"/>
      <c r="K349" s="3"/>
      <c r="L349" s="6"/>
      <c r="M349" s="6"/>
      <c r="N349" s="3"/>
      <c r="O349" s="6"/>
      <c r="P349" s="3"/>
      <c r="Q349" s="6"/>
      <c r="R349" s="6"/>
      <c r="S349" s="3"/>
      <c r="T349" s="6"/>
      <c r="U349" s="3"/>
      <c r="V349" s="6"/>
      <c r="W349" s="6"/>
      <c r="X349" s="3"/>
      <c r="Y349" s="6"/>
      <c r="Z349" s="3"/>
      <c r="AA349" s="6"/>
      <c r="AB349" s="6"/>
      <c r="AC349" s="3"/>
    </row>
    <row r="350" spans="1:29" ht="15.75" customHeight="1" x14ac:dyDescent="0.2">
      <c r="A350" s="2"/>
      <c r="B350" s="2"/>
      <c r="C350" s="2"/>
      <c r="D350" s="14"/>
      <c r="E350" s="6"/>
      <c r="F350" s="3"/>
      <c r="G350" s="6"/>
      <c r="H350" s="6"/>
      <c r="I350" s="3"/>
      <c r="J350" s="6"/>
      <c r="K350" s="3"/>
      <c r="L350" s="6"/>
      <c r="M350" s="6"/>
      <c r="N350" s="3"/>
      <c r="O350" s="6"/>
      <c r="P350" s="3"/>
      <c r="Q350" s="6"/>
      <c r="R350" s="6"/>
      <c r="S350" s="3"/>
      <c r="T350" s="6"/>
      <c r="U350" s="3"/>
      <c r="V350" s="6"/>
      <c r="W350" s="6"/>
      <c r="X350" s="3"/>
      <c r="Y350" s="6"/>
      <c r="Z350" s="3"/>
      <c r="AA350" s="6"/>
      <c r="AB350" s="6"/>
      <c r="AC350" s="3"/>
    </row>
    <row r="351" spans="1:29" ht="15.75" customHeight="1" x14ac:dyDescent="0.2">
      <c r="A351" s="2"/>
      <c r="B351" s="2"/>
      <c r="C351" s="2"/>
      <c r="D351" s="14"/>
      <c r="E351" s="6"/>
      <c r="F351" s="3"/>
      <c r="G351" s="6"/>
      <c r="H351" s="6"/>
      <c r="I351" s="3"/>
      <c r="J351" s="6"/>
      <c r="K351" s="3"/>
      <c r="L351" s="6"/>
      <c r="M351" s="6"/>
      <c r="N351" s="3"/>
      <c r="O351" s="6"/>
      <c r="P351" s="3"/>
      <c r="Q351" s="6"/>
      <c r="R351" s="6"/>
      <c r="S351" s="3"/>
      <c r="T351" s="6"/>
      <c r="U351" s="3"/>
      <c r="V351" s="6"/>
      <c r="W351" s="6"/>
      <c r="X351" s="3"/>
      <c r="Y351" s="6"/>
      <c r="Z351" s="3"/>
      <c r="AA351" s="6"/>
      <c r="AB351" s="6"/>
      <c r="AC351" s="3"/>
    </row>
    <row r="352" spans="1:29" ht="15.75" customHeight="1" x14ac:dyDescent="0.2">
      <c r="A352" s="2"/>
      <c r="B352" s="2"/>
      <c r="C352" s="2"/>
      <c r="D352" s="14"/>
      <c r="E352" s="6"/>
      <c r="F352" s="3"/>
      <c r="G352" s="6"/>
      <c r="H352" s="6"/>
      <c r="I352" s="3"/>
      <c r="J352" s="6"/>
      <c r="K352" s="3"/>
      <c r="L352" s="6"/>
      <c r="M352" s="6"/>
      <c r="N352" s="3"/>
      <c r="O352" s="6"/>
      <c r="P352" s="3"/>
      <c r="Q352" s="6"/>
      <c r="R352" s="6"/>
      <c r="S352" s="3"/>
      <c r="T352" s="6"/>
      <c r="U352" s="3"/>
      <c r="V352" s="6"/>
      <c r="W352" s="6"/>
      <c r="X352" s="3"/>
      <c r="Y352" s="6"/>
      <c r="Z352" s="3"/>
      <c r="AA352" s="6"/>
      <c r="AB352" s="6"/>
      <c r="AC352" s="3"/>
    </row>
    <row r="353" spans="1:29" ht="15.75" customHeight="1" x14ac:dyDescent="0.2">
      <c r="A353" s="2"/>
      <c r="B353" s="2"/>
      <c r="C353" s="2"/>
      <c r="D353" s="14"/>
      <c r="E353" s="6"/>
      <c r="F353" s="3"/>
      <c r="G353" s="6"/>
      <c r="H353" s="6"/>
      <c r="I353" s="3"/>
      <c r="J353" s="6"/>
      <c r="K353" s="3"/>
      <c r="L353" s="6"/>
      <c r="M353" s="6"/>
      <c r="N353" s="3"/>
      <c r="O353" s="6"/>
      <c r="P353" s="3"/>
      <c r="Q353" s="6"/>
      <c r="R353" s="6"/>
      <c r="S353" s="3"/>
      <c r="T353" s="6"/>
      <c r="U353" s="3"/>
      <c r="V353" s="6"/>
      <c r="W353" s="6"/>
      <c r="X353" s="3"/>
      <c r="Y353" s="6"/>
      <c r="Z353" s="3"/>
      <c r="AA353" s="6"/>
      <c r="AB353" s="6"/>
      <c r="AC353" s="3"/>
    </row>
    <row r="354" spans="1:29" ht="15.75" customHeight="1" x14ac:dyDescent="0.2">
      <c r="A354" s="2"/>
      <c r="B354" s="2"/>
      <c r="C354" s="2"/>
      <c r="D354" s="14"/>
      <c r="E354" s="6"/>
      <c r="F354" s="3"/>
      <c r="G354" s="6"/>
      <c r="H354" s="6"/>
      <c r="I354" s="3"/>
      <c r="J354" s="6"/>
      <c r="K354" s="3"/>
      <c r="L354" s="6"/>
      <c r="M354" s="6"/>
      <c r="N354" s="3"/>
      <c r="O354" s="6"/>
      <c r="P354" s="3"/>
      <c r="Q354" s="6"/>
      <c r="R354" s="6"/>
      <c r="S354" s="3"/>
      <c r="T354" s="6"/>
      <c r="U354" s="3"/>
      <c r="V354" s="6"/>
      <c r="W354" s="6"/>
      <c r="X354" s="3"/>
      <c r="Y354" s="6"/>
      <c r="Z354" s="3"/>
      <c r="AA354" s="6"/>
      <c r="AB354" s="6"/>
      <c r="AC354" s="3"/>
    </row>
    <row r="355" spans="1:29" ht="15.75" customHeight="1" x14ac:dyDescent="0.2">
      <c r="A355" s="2"/>
      <c r="B355" s="2"/>
      <c r="C355" s="2"/>
      <c r="D355" s="14"/>
      <c r="E355" s="6"/>
      <c r="F355" s="3"/>
      <c r="G355" s="6"/>
      <c r="H355" s="6"/>
      <c r="I355" s="3"/>
      <c r="J355" s="6"/>
      <c r="K355" s="3"/>
      <c r="L355" s="6"/>
      <c r="M355" s="6"/>
      <c r="N355" s="3"/>
      <c r="O355" s="6"/>
      <c r="P355" s="3"/>
      <c r="Q355" s="6"/>
      <c r="R355" s="6"/>
      <c r="S355" s="3"/>
      <c r="T355" s="6"/>
      <c r="U355" s="3"/>
      <c r="V355" s="6"/>
      <c r="W355" s="6"/>
      <c r="X355" s="3"/>
      <c r="Y355" s="6"/>
      <c r="Z355" s="3"/>
      <c r="AA355" s="6"/>
      <c r="AB355" s="6"/>
      <c r="AC355" s="3"/>
    </row>
    <row r="356" spans="1:29" ht="15.75" customHeight="1" x14ac:dyDescent="0.2">
      <c r="A356" s="2"/>
      <c r="B356" s="2"/>
      <c r="C356" s="2"/>
      <c r="D356" s="14"/>
      <c r="E356" s="6"/>
      <c r="F356" s="3"/>
      <c r="G356" s="6"/>
      <c r="H356" s="6"/>
      <c r="I356" s="3"/>
      <c r="J356" s="6"/>
      <c r="K356" s="3"/>
      <c r="L356" s="6"/>
      <c r="M356" s="6"/>
      <c r="N356" s="3"/>
      <c r="O356" s="6"/>
      <c r="P356" s="3"/>
      <c r="Q356" s="6"/>
      <c r="R356" s="6"/>
      <c r="S356" s="3"/>
      <c r="T356" s="6"/>
      <c r="U356" s="3"/>
      <c r="V356" s="6"/>
      <c r="W356" s="6"/>
      <c r="X356" s="3"/>
      <c r="Y356" s="6"/>
      <c r="Z356" s="3"/>
      <c r="AA356" s="6"/>
      <c r="AB356" s="6"/>
      <c r="AC356" s="3"/>
    </row>
    <row r="357" spans="1:29" ht="15.75" customHeight="1" x14ac:dyDescent="0.2">
      <c r="A357" s="2"/>
      <c r="B357" s="2"/>
      <c r="C357" s="2"/>
      <c r="D357" s="14"/>
      <c r="E357" s="6"/>
      <c r="F357" s="3"/>
      <c r="G357" s="6"/>
      <c r="H357" s="6"/>
      <c r="I357" s="3"/>
      <c r="J357" s="6"/>
      <c r="K357" s="3"/>
      <c r="L357" s="6"/>
      <c r="M357" s="6"/>
      <c r="N357" s="3"/>
      <c r="O357" s="6"/>
      <c r="P357" s="3"/>
      <c r="Q357" s="6"/>
      <c r="R357" s="6"/>
      <c r="S357" s="3"/>
      <c r="T357" s="6"/>
      <c r="U357" s="3"/>
      <c r="V357" s="6"/>
      <c r="W357" s="6"/>
      <c r="X357" s="3"/>
      <c r="Y357" s="6"/>
      <c r="Z357" s="3"/>
      <c r="AA357" s="6"/>
      <c r="AB357" s="6"/>
      <c r="AC357" s="3"/>
    </row>
    <row r="358" spans="1:29" ht="15.75" customHeight="1" x14ac:dyDescent="0.2">
      <c r="A358" s="2"/>
      <c r="B358" s="2"/>
      <c r="C358" s="2"/>
      <c r="D358" s="14"/>
      <c r="E358" s="6"/>
      <c r="F358" s="3"/>
      <c r="G358" s="6"/>
      <c r="H358" s="6"/>
      <c r="I358" s="3"/>
      <c r="J358" s="6"/>
      <c r="K358" s="3"/>
      <c r="L358" s="6"/>
      <c r="M358" s="6"/>
      <c r="N358" s="3"/>
      <c r="O358" s="6"/>
      <c r="P358" s="3"/>
      <c r="Q358" s="6"/>
      <c r="R358" s="6"/>
      <c r="S358" s="3"/>
      <c r="T358" s="6"/>
      <c r="U358" s="3"/>
      <c r="V358" s="6"/>
      <c r="W358" s="6"/>
      <c r="X358" s="3"/>
      <c r="Y358" s="6"/>
      <c r="Z358" s="3"/>
      <c r="AA358" s="6"/>
      <c r="AB358" s="6"/>
      <c r="AC358" s="3"/>
    </row>
    <row r="359" spans="1:29" ht="15.75" customHeight="1" x14ac:dyDescent="0.2">
      <c r="A359" s="2"/>
      <c r="B359" s="2"/>
      <c r="C359" s="2"/>
      <c r="D359" s="14"/>
      <c r="E359" s="6"/>
      <c r="F359" s="3"/>
      <c r="G359" s="6"/>
      <c r="H359" s="6"/>
      <c r="I359" s="3"/>
      <c r="J359" s="6"/>
      <c r="K359" s="3"/>
      <c r="L359" s="6"/>
      <c r="M359" s="6"/>
      <c r="N359" s="3"/>
      <c r="O359" s="6"/>
      <c r="P359" s="3"/>
      <c r="Q359" s="6"/>
      <c r="R359" s="6"/>
      <c r="S359" s="3"/>
      <c r="T359" s="6"/>
      <c r="U359" s="3"/>
      <c r="V359" s="6"/>
      <c r="W359" s="6"/>
      <c r="X359" s="3"/>
      <c r="Y359" s="6"/>
      <c r="Z359" s="3"/>
      <c r="AA359" s="6"/>
      <c r="AB359" s="6"/>
      <c r="AC359" s="3"/>
    </row>
    <row r="360" spans="1:29" ht="15.75" customHeight="1" x14ac:dyDescent="0.2">
      <c r="A360" s="2"/>
      <c r="B360" s="2"/>
      <c r="C360" s="2"/>
      <c r="D360" s="14"/>
      <c r="E360" s="6"/>
      <c r="F360" s="3"/>
      <c r="G360" s="6"/>
      <c r="H360" s="6"/>
      <c r="I360" s="3"/>
      <c r="J360" s="6"/>
      <c r="K360" s="3"/>
      <c r="L360" s="6"/>
      <c r="M360" s="6"/>
      <c r="N360" s="3"/>
      <c r="O360" s="6"/>
      <c r="P360" s="3"/>
      <c r="Q360" s="6"/>
      <c r="R360" s="6"/>
      <c r="S360" s="3"/>
      <c r="T360" s="6"/>
      <c r="U360" s="3"/>
      <c r="V360" s="6"/>
      <c r="W360" s="6"/>
      <c r="X360" s="3"/>
      <c r="Y360" s="6"/>
      <c r="Z360" s="3"/>
      <c r="AA360" s="6"/>
      <c r="AB360" s="6"/>
      <c r="AC360" s="3"/>
    </row>
    <row r="361" spans="1:29" ht="15.75" customHeight="1" x14ac:dyDescent="0.2">
      <c r="A361" s="2"/>
      <c r="B361" s="2"/>
      <c r="C361" s="2"/>
      <c r="D361" s="14"/>
      <c r="E361" s="6"/>
      <c r="F361" s="3"/>
      <c r="G361" s="6"/>
      <c r="H361" s="6"/>
      <c r="I361" s="3"/>
      <c r="J361" s="6"/>
      <c r="K361" s="3"/>
      <c r="L361" s="6"/>
      <c r="M361" s="6"/>
      <c r="N361" s="3"/>
      <c r="O361" s="6"/>
      <c r="P361" s="3"/>
      <c r="Q361" s="6"/>
      <c r="R361" s="6"/>
      <c r="S361" s="3"/>
      <c r="T361" s="6"/>
      <c r="U361" s="3"/>
      <c r="V361" s="6"/>
      <c r="W361" s="6"/>
      <c r="X361" s="3"/>
      <c r="Y361" s="6"/>
      <c r="Z361" s="3"/>
      <c r="AA361" s="6"/>
      <c r="AB361" s="6"/>
      <c r="AC361" s="3"/>
    </row>
    <row r="362" spans="1:29" ht="15.75" customHeight="1" x14ac:dyDescent="0.2">
      <c r="A362" s="2"/>
      <c r="B362" s="2"/>
      <c r="C362" s="2"/>
      <c r="D362" s="14"/>
      <c r="E362" s="6"/>
      <c r="F362" s="3"/>
      <c r="G362" s="6"/>
      <c r="H362" s="6"/>
      <c r="I362" s="3"/>
      <c r="J362" s="6"/>
      <c r="K362" s="3"/>
      <c r="L362" s="6"/>
      <c r="M362" s="6"/>
      <c r="N362" s="3"/>
      <c r="O362" s="6"/>
      <c r="P362" s="3"/>
      <c r="Q362" s="6"/>
      <c r="R362" s="6"/>
      <c r="S362" s="3"/>
      <c r="T362" s="6"/>
      <c r="U362" s="3"/>
      <c r="V362" s="6"/>
      <c r="W362" s="6"/>
      <c r="X362" s="3"/>
      <c r="Y362" s="6"/>
      <c r="Z362" s="3"/>
      <c r="AA362" s="6"/>
      <c r="AB362" s="6"/>
      <c r="AC362" s="3"/>
    </row>
    <row r="363" spans="1:29" ht="15.75" customHeight="1" x14ac:dyDescent="0.2">
      <c r="A363" s="2"/>
      <c r="B363" s="2"/>
      <c r="C363" s="2"/>
      <c r="D363" s="14"/>
      <c r="E363" s="6"/>
      <c r="F363" s="3"/>
      <c r="G363" s="6"/>
      <c r="H363" s="6"/>
      <c r="I363" s="3"/>
      <c r="J363" s="6"/>
      <c r="K363" s="3"/>
      <c r="L363" s="6"/>
      <c r="M363" s="6"/>
      <c r="N363" s="3"/>
      <c r="O363" s="6"/>
      <c r="P363" s="3"/>
      <c r="Q363" s="6"/>
      <c r="R363" s="6"/>
      <c r="S363" s="3"/>
      <c r="T363" s="6"/>
      <c r="U363" s="3"/>
      <c r="V363" s="6"/>
      <c r="W363" s="6"/>
      <c r="X363" s="3"/>
      <c r="Y363" s="6"/>
      <c r="Z363" s="3"/>
      <c r="AA363" s="6"/>
      <c r="AB363" s="6"/>
      <c r="AC363" s="3"/>
    </row>
    <row r="364" spans="1:29" ht="15.75" customHeight="1" x14ac:dyDescent="0.2">
      <c r="A364" s="2"/>
      <c r="B364" s="2"/>
      <c r="C364" s="2"/>
      <c r="D364" s="14"/>
      <c r="E364" s="6"/>
      <c r="F364" s="3"/>
      <c r="G364" s="6"/>
      <c r="H364" s="6"/>
      <c r="I364" s="3"/>
      <c r="J364" s="6"/>
      <c r="K364" s="3"/>
      <c r="L364" s="6"/>
      <c r="M364" s="6"/>
      <c r="N364" s="3"/>
      <c r="O364" s="6"/>
      <c r="P364" s="3"/>
      <c r="Q364" s="6"/>
      <c r="R364" s="6"/>
      <c r="S364" s="3"/>
      <c r="T364" s="6"/>
      <c r="U364" s="3"/>
      <c r="V364" s="6"/>
      <c r="W364" s="6"/>
      <c r="X364" s="3"/>
      <c r="Y364" s="6"/>
      <c r="Z364" s="3"/>
      <c r="AA364" s="6"/>
      <c r="AB364" s="6"/>
      <c r="AC364" s="3"/>
    </row>
    <row r="365" spans="1:29" ht="15.75" customHeight="1" x14ac:dyDescent="0.2">
      <c r="A365" s="2"/>
      <c r="B365" s="2"/>
      <c r="C365" s="2"/>
      <c r="D365" s="14"/>
      <c r="E365" s="6"/>
      <c r="F365" s="3"/>
      <c r="G365" s="6"/>
      <c r="H365" s="6"/>
      <c r="I365" s="3"/>
      <c r="J365" s="6"/>
      <c r="K365" s="3"/>
      <c r="L365" s="6"/>
      <c r="M365" s="6"/>
      <c r="N365" s="3"/>
      <c r="O365" s="6"/>
      <c r="P365" s="3"/>
      <c r="Q365" s="6"/>
      <c r="R365" s="6"/>
      <c r="S365" s="3"/>
      <c r="T365" s="6"/>
      <c r="U365" s="3"/>
      <c r="V365" s="6"/>
      <c r="W365" s="6"/>
      <c r="X365" s="3"/>
      <c r="Y365" s="6"/>
      <c r="Z365" s="3"/>
      <c r="AA365" s="6"/>
      <c r="AB365" s="6"/>
      <c r="AC365" s="3"/>
    </row>
    <row r="366" spans="1:29" ht="15.75" customHeight="1" x14ac:dyDescent="0.2">
      <c r="A366" s="2"/>
      <c r="B366" s="2"/>
      <c r="C366" s="2"/>
      <c r="D366" s="14"/>
      <c r="E366" s="6"/>
      <c r="F366" s="3"/>
      <c r="G366" s="6"/>
      <c r="H366" s="6"/>
      <c r="I366" s="3"/>
      <c r="J366" s="6"/>
      <c r="K366" s="3"/>
      <c r="L366" s="6"/>
      <c r="M366" s="6"/>
      <c r="N366" s="3"/>
      <c r="O366" s="6"/>
      <c r="P366" s="3"/>
      <c r="Q366" s="6"/>
      <c r="R366" s="6"/>
      <c r="S366" s="3"/>
      <c r="T366" s="6"/>
      <c r="U366" s="3"/>
      <c r="V366" s="6"/>
      <c r="W366" s="6"/>
      <c r="X366" s="3"/>
      <c r="Y366" s="6"/>
      <c r="Z366" s="3"/>
      <c r="AA366" s="6"/>
      <c r="AB366" s="6"/>
      <c r="AC366" s="3"/>
    </row>
    <row r="367" spans="1:29" ht="15.75" customHeight="1" x14ac:dyDescent="0.2">
      <c r="A367" s="2"/>
      <c r="B367" s="2"/>
      <c r="C367" s="2"/>
      <c r="D367" s="14"/>
      <c r="E367" s="6"/>
      <c r="F367" s="3"/>
      <c r="G367" s="6"/>
      <c r="H367" s="6"/>
      <c r="I367" s="3"/>
      <c r="J367" s="6"/>
      <c r="K367" s="3"/>
      <c r="L367" s="6"/>
      <c r="M367" s="6"/>
      <c r="N367" s="3"/>
      <c r="O367" s="6"/>
      <c r="P367" s="3"/>
      <c r="Q367" s="6"/>
      <c r="R367" s="6"/>
      <c r="S367" s="3"/>
      <c r="T367" s="6"/>
      <c r="U367" s="3"/>
      <c r="V367" s="6"/>
      <c r="W367" s="6"/>
      <c r="X367" s="3"/>
      <c r="Y367" s="6"/>
      <c r="Z367" s="3"/>
      <c r="AA367" s="6"/>
      <c r="AB367" s="6"/>
      <c r="AC367" s="3"/>
    </row>
    <row r="368" spans="1:29" ht="15.75" customHeight="1" x14ac:dyDescent="0.2">
      <c r="A368" s="2"/>
      <c r="B368" s="2"/>
      <c r="C368" s="2"/>
      <c r="D368" s="14"/>
      <c r="E368" s="6"/>
      <c r="F368" s="3"/>
      <c r="G368" s="6"/>
      <c r="H368" s="6"/>
      <c r="I368" s="3"/>
      <c r="J368" s="6"/>
      <c r="K368" s="3"/>
      <c r="L368" s="6"/>
      <c r="M368" s="6"/>
      <c r="N368" s="3"/>
      <c r="O368" s="6"/>
      <c r="P368" s="3"/>
      <c r="Q368" s="6"/>
      <c r="R368" s="6"/>
      <c r="S368" s="3"/>
      <c r="T368" s="6"/>
      <c r="U368" s="3"/>
      <c r="V368" s="6"/>
      <c r="W368" s="6"/>
      <c r="X368" s="3"/>
      <c r="Y368" s="6"/>
      <c r="Z368" s="3"/>
      <c r="AA368" s="6"/>
      <c r="AB368" s="6"/>
      <c r="AC368" s="3"/>
    </row>
    <row r="369" spans="1:29" ht="15.75" customHeight="1" x14ac:dyDescent="0.2">
      <c r="A369" s="2"/>
      <c r="B369" s="2"/>
      <c r="C369" s="2"/>
      <c r="D369" s="14"/>
      <c r="E369" s="6"/>
      <c r="F369" s="3"/>
      <c r="G369" s="6"/>
      <c r="H369" s="6"/>
      <c r="I369" s="3"/>
      <c r="J369" s="6"/>
      <c r="K369" s="3"/>
      <c r="L369" s="6"/>
      <c r="M369" s="6"/>
      <c r="N369" s="3"/>
      <c r="O369" s="6"/>
      <c r="P369" s="3"/>
      <c r="Q369" s="6"/>
      <c r="R369" s="6"/>
      <c r="S369" s="3"/>
      <c r="T369" s="6"/>
      <c r="U369" s="3"/>
      <c r="V369" s="6"/>
      <c r="W369" s="6"/>
      <c r="X369" s="3"/>
      <c r="Y369" s="6"/>
      <c r="Z369" s="3"/>
      <c r="AA369" s="6"/>
      <c r="AB369" s="6"/>
      <c r="AC369" s="3"/>
    </row>
    <row r="370" spans="1:29" ht="15.75" customHeight="1" x14ac:dyDescent="0.2">
      <c r="A370" s="2"/>
      <c r="B370" s="2"/>
      <c r="C370" s="2"/>
      <c r="D370" s="14"/>
      <c r="E370" s="6"/>
      <c r="F370" s="3"/>
      <c r="G370" s="6"/>
      <c r="H370" s="6"/>
      <c r="I370" s="3"/>
      <c r="J370" s="6"/>
      <c r="K370" s="3"/>
      <c r="L370" s="6"/>
      <c r="M370" s="6"/>
      <c r="N370" s="3"/>
      <c r="O370" s="6"/>
      <c r="P370" s="3"/>
      <c r="Q370" s="6"/>
      <c r="R370" s="6"/>
      <c r="S370" s="3"/>
      <c r="T370" s="6"/>
      <c r="U370" s="3"/>
      <c r="V370" s="6"/>
      <c r="W370" s="6"/>
      <c r="X370" s="3"/>
      <c r="Y370" s="6"/>
      <c r="Z370" s="3"/>
      <c r="AA370" s="6"/>
      <c r="AB370" s="6"/>
      <c r="AC370" s="3"/>
    </row>
    <row r="371" spans="1:29" ht="15.75" customHeight="1" x14ac:dyDescent="0.2">
      <c r="A371" s="2"/>
      <c r="B371" s="2"/>
      <c r="C371" s="2"/>
      <c r="D371" s="14"/>
      <c r="E371" s="6"/>
      <c r="F371" s="3"/>
      <c r="G371" s="6"/>
      <c r="H371" s="6"/>
      <c r="I371" s="3"/>
      <c r="J371" s="6"/>
      <c r="K371" s="3"/>
      <c r="L371" s="6"/>
      <c r="M371" s="6"/>
      <c r="N371" s="3"/>
      <c r="O371" s="6"/>
      <c r="P371" s="3"/>
      <c r="Q371" s="6"/>
      <c r="R371" s="6"/>
      <c r="S371" s="3"/>
      <c r="T371" s="6"/>
      <c r="U371" s="3"/>
      <c r="V371" s="6"/>
      <c r="W371" s="6"/>
      <c r="X371" s="3"/>
      <c r="Y371" s="6"/>
      <c r="Z371" s="3"/>
      <c r="AA371" s="6"/>
      <c r="AB371" s="6"/>
      <c r="AC371" s="3"/>
    </row>
    <row r="372" spans="1:29" ht="15.75" customHeight="1" x14ac:dyDescent="0.2">
      <c r="A372" s="2"/>
      <c r="B372" s="2"/>
      <c r="C372" s="2"/>
      <c r="D372" s="14"/>
      <c r="E372" s="6"/>
      <c r="F372" s="3"/>
      <c r="G372" s="6"/>
      <c r="H372" s="6"/>
      <c r="I372" s="3"/>
      <c r="J372" s="6"/>
      <c r="K372" s="3"/>
      <c r="L372" s="6"/>
      <c r="M372" s="6"/>
      <c r="N372" s="3"/>
      <c r="O372" s="6"/>
      <c r="P372" s="3"/>
      <c r="Q372" s="6"/>
      <c r="R372" s="6"/>
      <c r="S372" s="3"/>
      <c r="T372" s="6"/>
      <c r="U372" s="3"/>
      <c r="V372" s="6"/>
      <c r="W372" s="6"/>
      <c r="X372" s="3"/>
      <c r="Y372" s="6"/>
      <c r="Z372" s="3"/>
      <c r="AA372" s="6"/>
      <c r="AB372" s="6"/>
      <c r="AC372" s="3"/>
    </row>
    <row r="373" spans="1:29" ht="15.75" customHeight="1" x14ac:dyDescent="0.2">
      <c r="A373" s="2"/>
      <c r="B373" s="2"/>
      <c r="C373" s="2"/>
      <c r="D373" s="14"/>
      <c r="E373" s="6"/>
      <c r="F373" s="3"/>
      <c r="G373" s="6"/>
      <c r="H373" s="6"/>
      <c r="I373" s="3"/>
      <c r="J373" s="6"/>
      <c r="K373" s="3"/>
      <c r="L373" s="6"/>
      <c r="M373" s="6"/>
      <c r="N373" s="3"/>
      <c r="O373" s="6"/>
      <c r="P373" s="3"/>
      <c r="Q373" s="6"/>
      <c r="R373" s="6"/>
      <c r="S373" s="3"/>
      <c r="T373" s="6"/>
      <c r="U373" s="3"/>
      <c r="V373" s="6"/>
      <c r="W373" s="6"/>
      <c r="X373" s="3"/>
      <c r="Y373" s="6"/>
      <c r="Z373" s="3"/>
      <c r="AA373" s="6"/>
      <c r="AB373" s="6"/>
      <c r="AC373" s="3"/>
    </row>
    <row r="374" spans="1:29" ht="15.75" customHeight="1" x14ac:dyDescent="0.2">
      <c r="A374" s="2"/>
      <c r="B374" s="2"/>
      <c r="C374" s="2"/>
      <c r="D374" s="14"/>
      <c r="E374" s="6"/>
      <c r="F374" s="3"/>
      <c r="G374" s="6"/>
      <c r="H374" s="6"/>
      <c r="I374" s="3"/>
      <c r="J374" s="6"/>
      <c r="K374" s="3"/>
      <c r="L374" s="6"/>
      <c r="M374" s="6"/>
      <c r="N374" s="3"/>
      <c r="O374" s="6"/>
      <c r="P374" s="3"/>
      <c r="Q374" s="6"/>
      <c r="R374" s="6"/>
      <c r="S374" s="3"/>
      <c r="T374" s="6"/>
      <c r="U374" s="3"/>
      <c r="V374" s="6"/>
      <c r="W374" s="6"/>
      <c r="X374" s="3"/>
      <c r="Y374" s="6"/>
      <c r="Z374" s="3"/>
      <c r="AA374" s="6"/>
      <c r="AB374" s="6"/>
      <c r="AC374" s="3"/>
    </row>
    <row r="375" spans="1:29" ht="15.75" customHeight="1" x14ac:dyDescent="0.2">
      <c r="A375" s="2"/>
      <c r="B375" s="2"/>
      <c r="C375" s="2"/>
      <c r="D375" s="14"/>
      <c r="E375" s="6"/>
      <c r="F375" s="3"/>
      <c r="G375" s="6"/>
      <c r="H375" s="6"/>
      <c r="I375" s="3"/>
      <c r="J375" s="6"/>
      <c r="K375" s="3"/>
      <c r="L375" s="6"/>
      <c r="M375" s="6"/>
      <c r="N375" s="3"/>
      <c r="O375" s="6"/>
      <c r="P375" s="3"/>
      <c r="Q375" s="6"/>
      <c r="R375" s="6"/>
      <c r="S375" s="3"/>
      <c r="T375" s="6"/>
      <c r="U375" s="3"/>
      <c r="V375" s="6"/>
      <c r="W375" s="6"/>
      <c r="X375" s="3"/>
      <c r="Y375" s="6"/>
      <c r="Z375" s="3"/>
      <c r="AA375" s="6"/>
      <c r="AB375" s="6"/>
      <c r="AC375" s="3"/>
    </row>
    <row r="376" spans="1:29" ht="15.75" customHeight="1" x14ac:dyDescent="0.2">
      <c r="A376" s="2"/>
      <c r="B376" s="2"/>
      <c r="C376" s="2"/>
      <c r="D376" s="14"/>
      <c r="E376" s="6"/>
      <c r="F376" s="3"/>
      <c r="G376" s="6"/>
      <c r="H376" s="6"/>
      <c r="I376" s="3"/>
      <c r="J376" s="6"/>
      <c r="K376" s="3"/>
      <c r="L376" s="6"/>
      <c r="M376" s="6"/>
      <c r="N376" s="3"/>
      <c r="O376" s="6"/>
      <c r="P376" s="3"/>
      <c r="Q376" s="6"/>
      <c r="R376" s="6"/>
      <c r="S376" s="3"/>
      <c r="T376" s="6"/>
      <c r="U376" s="3"/>
      <c r="V376" s="6"/>
      <c r="W376" s="6"/>
      <c r="X376" s="3"/>
      <c r="Y376" s="6"/>
      <c r="Z376" s="3"/>
      <c r="AA376" s="6"/>
      <c r="AB376" s="6"/>
      <c r="AC376" s="3"/>
    </row>
    <row r="377" spans="1:29" ht="15.75" customHeight="1" x14ac:dyDescent="0.2">
      <c r="A377" s="2"/>
      <c r="B377" s="2"/>
      <c r="C377" s="2"/>
      <c r="D377" s="14"/>
      <c r="E377" s="6"/>
      <c r="F377" s="3"/>
      <c r="G377" s="6"/>
      <c r="H377" s="6"/>
      <c r="I377" s="3"/>
      <c r="J377" s="6"/>
      <c r="K377" s="3"/>
      <c r="L377" s="6"/>
      <c r="M377" s="6"/>
      <c r="N377" s="3"/>
      <c r="O377" s="6"/>
      <c r="P377" s="3"/>
      <c r="Q377" s="6"/>
      <c r="R377" s="6"/>
      <c r="S377" s="3"/>
      <c r="T377" s="6"/>
      <c r="U377" s="3"/>
      <c r="V377" s="6"/>
      <c r="W377" s="6"/>
      <c r="X377" s="3"/>
      <c r="Y377" s="6"/>
      <c r="Z377" s="3"/>
      <c r="AA377" s="6"/>
      <c r="AB377" s="6"/>
      <c r="AC377" s="3"/>
    </row>
    <row r="378" spans="1:29" ht="15.75" customHeight="1" x14ac:dyDescent="0.2">
      <c r="A378" s="2"/>
      <c r="B378" s="2"/>
      <c r="C378" s="2"/>
      <c r="D378" s="14"/>
      <c r="E378" s="6"/>
      <c r="F378" s="3"/>
      <c r="G378" s="6"/>
      <c r="H378" s="6"/>
      <c r="I378" s="3"/>
      <c r="J378" s="6"/>
      <c r="K378" s="3"/>
      <c r="L378" s="6"/>
      <c r="M378" s="6"/>
      <c r="N378" s="3"/>
      <c r="O378" s="6"/>
      <c r="P378" s="3"/>
      <c r="Q378" s="6"/>
      <c r="R378" s="6"/>
      <c r="S378" s="3"/>
      <c r="T378" s="6"/>
      <c r="U378" s="3"/>
      <c r="V378" s="6"/>
      <c r="W378" s="6"/>
      <c r="X378" s="3"/>
      <c r="Y378" s="6"/>
      <c r="Z378" s="3"/>
      <c r="AA378" s="6"/>
      <c r="AB378" s="6"/>
      <c r="AC378" s="3"/>
    </row>
    <row r="379" spans="1:29" ht="15.75" customHeight="1" x14ac:dyDescent="0.2">
      <c r="A379" s="2"/>
      <c r="B379" s="2"/>
      <c r="C379" s="2"/>
      <c r="D379" s="14"/>
      <c r="E379" s="6"/>
      <c r="F379" s="3"/>
      <c r="G379" s="6"/>
      <c r="H379" s="6"/>
      <c r="I379" s="3"/>
      <c r="J379" s="6"/>
      <c r="K379" s="3"/>
      <c r="L379" s="6"/>
      <c r="M379" s="6"/>
      <c r="N379" s="3"/>
      <c r="O379" s="6"/>
      <c r="P379" s="3"/>
      <c r="Q379" s="6"/>
      <c r="R379" s="6"/>
      <c r="S379" s="3"/>
      <c r="T379" s="6"/>
      <c r="U379" s="3"/>
      <c r="V379" s="6"/>
      <c r="W379" s="6"/>
      <c r="X379" s="3"/>
      <c r="Y379" s="6"/>
      <c r="Z379" s="3"/>
      <c r="AA379" s="6"/>
      <c r="AB379" s="6"/>
      <c r="AC379" s="3"/>
    </row>
    <row r="380" spans="1:29" ht="15.75" customHeight="1" x14ac:dyDescent="0.2">
      <c r="A380" s="2"/>
      <c r="B380" s="2"/>
      <c r="C380" s="2"/>
      <c r="D380" s="14"/>
      <c r="E380" s="6"/>
      <c r="F380" s="3"/>
      <c r="G380" s="6"/>
      <c r="H380" s="6"/>
      <c r="I380" s="3"/>
      <c r="J380" s="6"/>
      <c r="K380" s="3"/>
      <c r="L380" s="6"/>
      <c r="M380" s="6"/>
      <c r="N380" s="3"/>
      <c r="O380" s="6"/>
      <c r="P380" s="3"/>
      <c r="Q380" s="6"/>
      <c r="R380" s="6"/>
      <c r="S380" s="3"/>
      <c r="T380" s="6"/>
      <c r="U380" s="3"/>
      <c r="V380" s="6"/>
      <c r="W380" s="6"/>
      <c r="X380" s="3"/>
      <c r="Y380" s="6"/>
      <c r="Z380" s="3"/>
      <c r="AA380" s="6"/>
      <c r="AB380" s="6"/>
      <c r="AC380" s="3"/>
    </row>
    <row r="381" spans="1:29" ht="15.75" customHeight="1" x14ac:dyDescent="0.2">
      <c r="A381" s="2"/>
      <c r="B381" s="2"/>
      <c r="C381" s="2"/>
      <c r="D381" s="14"/>
      <c r="E381" s="6"/>
      <c r="F381" s="3"/>
      <c r="G381" s="6"/>
      <c r="H381" s="6"/>
      <c r="I381" s="3"/>
      <c r="J381" s="6"/>
      <c r="K381" s="3"/>
      <c r="L381" s="6"/>
      <c r="M381" s="6"/>
      <c r="N381" s="3"/>
      <c r="O381" s="6"/>
      <c r="P381" s="3"/>
      <c r="Q381" s="6"/>
      <c r="R381" s="6"/>
      <c r="S381" s="3"/>
      <c r="T381" s="6"/>
      <c r="U381" s="3"/>
      <c r="V381" s="6"/>
      <c r="W381" s="6"/>
      <c r="X381" s="3"/>
      <c r="Y381" s="6"/>
      <c r="Z381" s="3"/>
      <c r="AA381" s="6"/>
      <c r="AB381" s="6"/>
      <c r="AC381" s="3"/>
    </row>
    <row r="382" spans="1:29" ht="15.75" customHeight="1" x14ac:dyDescent="0.2">
      <c r="A382" s="2"/>
      <c r="B382" s="2"/>
      <c r="C382" s="2"/>
      <c r="D382" s="14"/>
      <c r="E382" s="6"/>
      <c r="F382" s="3"/>
      <c r="G382" s="6"/>
      <c r="H382" s="6"/>
      <c r="I382" s="3"/>
      <c r="J382" s="6"/>
      <c r="K382" s="3"/>
      <c r="L382" s="6"/>
      <c r="M382" s="6"/>
      <c r="N382" s="3"/>
      <c r="O382" s="6"/>
      <c r="P382" s="3"/>
      <c r="Q382" s="6"/>
      <c r="R382" s="6"/>
      <c r="S382" s="3"/>
      <c r="T382" s="6"/>
      <c r="U382" s="3"/>
      <c r="V382" s="6"/>
      <c r="W382" s="6"/>
      <c r="X382" s="3"/>
      <c r="Y382" s="6"/>
      <c r="Z382" s="3"/>
      <c r="AA382" s="6"/>
      <c r="AB382" s="6"/>
      <c r="AC382" s="3"/>
    </row>
    <row r="383" spans="1:29" ht="15.75" customHeight="1" x14ac:dyDescent="0.2">
      <c r="A383" s="2"/>
      <c r="B383" s="2"/>
      <c r="C383" s="2"/>
      <c r="D383" s="14"/>
      <c r="E383" s="6"/>
      <c r="F383" s="3"/>
      <c r="G383" s="6"/>
      <c r="H383" s="6"/>
      <c r="I383" s="3"/>
      <c r="J383" s="6"/>
      <c r="K383" s="3"/>
      <c r="L383" s="6"/>
      <c r="M383" s="6"/>
      <c r="N383" s="3"/>
      <c r="O383" s="6"/>
      <c r="P383" s="3"/>
      <c r="Q383" s="6"/>
      <c r="R383" s="6"/>
      <c r="S383" s="3"/>
      <c r="T383" s="6"/>
      <c r="U383" s="3"/>
      <c r="V383" s="6"/>
      <c r="W383" s="6"/>
      <c r="X383" s="3"/>
      <c r="Y383" s="6"/>
      <c r="Z383" s="3"/>
      <c r="AA383" s="6"/>
      <c r="AB383" s="6"/>
      <c r="AC383" s="3"/>
    </row>
    <row r="384" spans="1:29" ht="15.75" customHeight="1" x14ac:dyDescent="0.2">
      <c r="A384" s="2"/>
      <c r="B384" s="2"/>
      <c r="C384" s="2"/>
      <c r="D384" s="14"/>
      <c r="E384" s="6"/>
      <c r="F384" s="3"/>
      <c r="G384" s="6"/>
      <c r="H384" s="6"/>
      <c r="I384" s="3"/>
      <c r="J384" s="6"/>
      <c r="K384" s="3"/>
      <c r="L384" s="6"/>
      <c r="M384" s="6"/>
      <c r="N384" s="3"/>
      <c r="O384" s="6"/>
      <c r="P384" s="3"/>
      <c r="Q384" s="6"/>
      <c r="R384" s="6"/>
      <c r="S384" s="3"/>
      <c r="T384" s="6"/>
      <c r="U384" s="3"/>
      <c r="V384" s="6"/>
      <c r="W384" s="6"/>
      <c r="X384" s="3"/>
      <c r="Y384" s="6"/>
      <c r="Z384" s="3"/>
      <c r="AA384" s="6"/>
      <c r="AB384" s="6"/>
      <c r="AC384" s="3"/>
    </row>
    <row r="385" spans="1:29" ht="15.75" customHeight="1" x14ac:dyDescent="0.2">
      <c r="A385" s="2"/>
      <c r="B385" s="2"/>
      <c r="C385" s="2"/>
      <c r="D385" s="14"/>
      <c r="E385" s="6"/>
      <c r="F385" s="3"/>
      <c r="G385" s="6"/>
      <c r="H385" s="6"/>
      <c r="I385" s="3"/>
      <c r="J385" s="6"/>
      <c r="K385" s="3"/>
      <c r="L385" s="6"/>
      <c r="M385" s="6"/>
      <c r="N385" s="3"/>
      <c r="O385" s="6"/>
      <c r="P385" s="3"/>
      <c r="Q385" s="6"/>
      <c r="R385" s="6"/>
      <c r="S385" s="3"/>
      <c r="T385" s="6"/>
      <c r="U385" s="3"/>
      <c r="V385" s="6"/>
      <c r="W385" s="6"/>
      <c r="X385" s="3"/>
      <c r="Y385" s="6"/>
      <c r="Z385" s="3"/>
      <c r="AA385" s="6"/>
      <c r="AB385" s="6"/>
      <c r="AC385" s="3"/>
    </row>
    <row r="386" spans="1:29" ht="15.75" customHeight="1" x14ac:dyDescent="0.2">
      <c r="A386" s="2"/>
      <c r="B386" s="2"/>
      <c r="C386" s="2"/>
      <c r="D386" s="14"/>
      <c r="E386" s="6"/>
      <c r="F386" s="3"/>
      <c r="G386" s="6"/>
      <c r="H386" s="6"/>
      <c r="I386" s="3"/>
      <c r="J386" s="6"/>
      <c r="K386" s="3"/>
      <c r="L386" s="6"/>
      <c r="M386" s="6"/>
      <c r="N386" s="3"/>
      <c r="O386" s="6"/>
      <c r="P386" s="3"/>
      <c r="Q386" s="6"/>
      <c r="R386" s="6"/>
      <c r="S386" s="3"/>
      <c r="T386" s="6"/>
      <c r="U386" s="3"/>
      <c r="V386" s="6"/>
      <c r="W386" s="6"/>
      <c r="X386" s="3"/>
      <c r="Y386" s="6"/>
      <c r="Z386" s="3"/>
      <c r="AA386" s="6"/>
      <c r="AB386" s="6"/>
      <c r="AC386" s="3"/>
    </row>
    <row r="387" spans="1:29" ht="15.75" customHeight="1" x14ac:dyDescent="0.2">
      <c r="A387" s="2"/>
      <c r="B387" s="2"/>
      <c r="C387" s="2"/>
      <c r="D387" s="14"/>
      <c r="E387" s="6"/>
      <c r="F387" s="3"/>
      <c r="G387" s="6"/>
      <c r="H387" s="6"/>
      <c r="I387" s="3"/>
      <c r="J387" s="6"/>
      <c r="K387" s="3"/>
      <c r="L387" s="6"/>
      <c r="M387" s="6"/>
      <c r="N387" s="3"/>
      <c r="O387" s="6"/>
      <c r="P387" s="3"/>
      <c r="Q387" s="6"/>
      <c r="R387" s="6"/>
      <c r="S387" s="3"/>
      <c r="T387" s="6"/>
      <c r="U387" s="3"/>
      <c r="V387" s="6"/>
      <c r="W387" s="6"/>
      <c r="X387" s="3"/>
      <c r="Y387" s="6"/>
      <c r="Z387" s="3"/>
      <c r="AA387" s="6"/>
      <c r="AB387" s="6"/>
      <c r="AC387" s="3"/>
    </row>
    <row r="388" spans="1:29" ht="15.75" customHeight="1" x14ac:dyDescent="0.2">
      <c r="A388" s="2"/>
      <c r="B388" s="2"/>
      <c r="C388" s="2"/>
      <c r="D388" s="14"/>
      <c r="E388" s="6"/>
      <c r="F388" s="3"/>
      <c r="G388" s="6"/>
      <c r="H388" s="6"/>
      <c r="I388" s="3"/>
      <c r="J388" s="6"/>
      <c r="K388" s="3"/>
      <c r="L388" s="6"/>
      <c r="M388" s="6"/>
      <c r="N388" s="3"/>
      <c r="O388" s="6"/>
      <c r="P388" s="3"/>
      <c r="Q388" s="6"/>
      <c r="R388" s="6"/>
      <c r="S388" s="3"/>
      <c r="T388" s="6"/>
      <c r="U388" s="3"/>
      <c r="V388" s="6"/>
      <c r="W388" s="6"/>
      <c r="X388" s="3"/>
      <c r="Y388" s="6"/>
      <c r="Z388" s="3"/>
      <c r="AA388" s="6"/>
      <c r="AB388" s="6"/>
      <c r="AC388" s="3"/>
    </row>
    <row r="389" spans="1:29" ht="15.75" customHeight="1" x14ac:dyDescent="0.2">
      <c r="A389" s="2"/>
      <c r="B389" s="2"/>
      <c r="C389" s="2"/>
      <c r="D389" s="14"/>
      <c r="E389" s="6"/>
      <c r="F389" s="3"/>
      <c r="G389" s="6"/>
      <c r="H389" s="6"/>
      <c r="I389" s="3"/>
      <c r="J389" s="6"/>
      <c r="K389" s="3"/>
      <c r="L389" s="6"/>
      <c r="M389" s="6"/>
      <c r="N389" s="3"/>
      <c r="O389" s="6"/>
      <c r="P389" s="3"/>
      <c r="Q389" s="6"/>
      <c r="R389" s="6"/>
      <c r="S389" s="3"/>
      <c r="T389" s="6"/>
      <c r="U389" s="3"/>
      <c r="V389" s="6"/>
      <c r="W389" s="6"/>
      <c r="X389" s="3"/>
      <c r="Y389" s="6"/>
      <c r="Z389" s="3"/>
      <c r="AA389" s="6"/>
      <c r="AB389" s="6"/>
      <c r="AC389" s="3"/>
    </row>
    <row r="390" spans="1:29" ht="15.75" customHeight="1" x14ac:dyDescent="0.2">
      <c r="A390" s="2"/>
      <c r="B390" s="2"/>
      <c r="C390" s="2"/>
      <c r="D390" s="14"/>
      <c r="E390" s="6"/>
      <c r="F390" s="3"/>
      <c r="G390" s="6"/>
      <c r="H390" s="6"/>
      <c r="I390" s="3"/>
      <c r="J390" s="6"/>
      <c r="K390" s="3"/>
      <c r="L390" s="6"/>
      <c r="M390" s="6"/>
      <c r="N390" s="3"/>
      <c r="O390" s="6"/>
      <c r="P390" s="3"/>
      <c r="Q390" s="6"/>
      <c r="R390" s="6"/>
      <c r="S390" s="3"/>
      <c r="T390" s="6"/>
      <c r="U390" s="3"/>
      <c r="V390" s="6"/>
      <c r="W390" s="6"/>
      <c r="X390" s="3"/>
      <c r="Y390" s="6"/>
      <c r="Z390" s="3"/>
      <c r="AA390" s="6"/>
      <c r="AB390" s="6"/>
      <c r="AC390" s="3"/>
    </row>
    <row r="391" spans="1:29" ht="15.75" customHeight="1" x14ac:dyDescent="0.2">
      <c r="A391" s="2"/>
      <c r="B391" s="2"/>
      <c r="C391" s="2"/>
      <c r="D391" s="14"/>
      <c r="E391" s="6"/>
      <c r="F391" s="3"/>
      <c r="G391" s="6"/>
      <c r="H391" s="6"/>
      <c r="I391" s="3"/>
      <c r="J391" s="6"/>
      <c r="K391" s="3"/>
      <c r="L391" s="6"/>
      <c r="M391" s="6"/>
      <c r="N391" s="3"/>
      <c r="O391" s="6"/>
      <c r="P391" s="3"/>
      <c r="Q391" s="6"/>
      <c r="R391" s="6"/>
      <c r="S391" s="3"/>
      <c r="T391" s="6"/>
      <c r="U391" s="3"/>
      <c r="V391" s="6"/>
      <c r="W391" s="6"/>
      <c r="X391" s="3"/>
      <c r="Y391" s="6"/>
      <c r="Z391" s="3"/>
      <c r="AA391" s="6"/>
      <c r="AB391" s="6"/>
      <c r="AC391" s="3"/>
    </row>
    <row r="392" spans="1:29" ht="15.75" customHeight="1" x14ac:dyDescent="0.2">
      <c r="A392" s="2"/>
      <c r="B392" s="2"/>
      <c r="C392" s="2"/>
      <c r="D392" s="14"/>
      <c r="E392" s="6"/>
      <c r="F392" s="3"/>
      <c r="G392" s="6"/>
      <c r="H392" s="6"/>
      <c r="I392" s="3"/>
      <c r="J392" s="6"/>
      <c r="K392" s="3"/>
      <c r="L392" s="6"/>
      <c r="M392" s="6"/>
      <c r="N392" s="3"/>
      <c r="O392" s="6"/>
      <c r="P392" s="3"/>
      <c r="Q392" s="6"/>
      <c r="R392" s="6"/>
      <c r="S392" s="3"/>
      <c r="T392" s="6"/>
      <c r="U392" s="3"/>
      <c r="V392" s="6"/>
      <c r="W392" s="6"/>
      <c r="X392" s="3"/>
      <c r="Y392" s="6"/>
      <c r="Z392" s="3"/>
      <c r="AA392" s="6"/>
      <c r="AB392" s="6"/>
      <c r="AC392" s="3"/>
    </row>
    <row r="393" spans="1:29" ht="15.75" customHeight="1" x14ac:dyDescent="0.2">
      <c r="A393" s="2"/>
      <c r="B393" s="2"/>
      <c r="C393" s="2"/>
      <c r="D393" s="14"/>
      <c r="E393" s="6"/>
      <c r="F393" s="3"/>
      <c r="G393" s="6"/>
      <c r="H393" s="6"/>
      <c r="I393" s="3"/>
      <c r="J393" s="6"/>
      <c r="K393" s="3"/>
      <c r="L393" s="6"/>
      <c r="M393" s="6"/>
      <c r="N393" s="3"/>
      <c r="O393" s="6"/>
      <c r="P393" s="3"/>
      <c r="Q393" s="6"/>
      <c r="R393" s="6"/>
      <c r="S393" s="3"/>
      <c r="T393" s="6"/>
      <c r="U393" s="3"/>
      <c r="V393" s="6"/>
      <c r="W393" s="6"/>
      <c r="X393" s="3"/>
      <c r="Y393" s="6"/>
      <c r="Z393" s="3"/>
      <c r="AA393" s="6"/>
      <c r="AB393" s="6"/>
      <c r="AC393" s="3"/>
    </row>
    <row r="394" spans="1:29" ht="15.75" customHeight="1" x14ac:dyDescent="0.2">
      <c r="A394" s="2"/>
      <c r="B394" s="2"/>
      <c r="C394" s="2"/>
      <c r="D394" s="14"/>
      <c r="E394" s="6"/>
      <c r="F394" s="3"/>
      <c r="G394" s="6"/>
      <c r="H394" s="6"/>
      <c r="I394" s="3"/>
      <c r="J394" s="6"/>
      <c r="K394" s="3"/>
      <c r="L394" s="6"/>
      <c r="M394" s="6"/>
      <c r="N394" s="3"/>
      <c r="O394" s="6"/>
      <c r="P394" s="3"/>
      <c r="Q394" s="6"/>
      <c r="R394" s="6"/>
      <c r="S394" s="3"/>
      <c r="T394" s="6"/>
      <c r="U394" s="3"/>
      <c r="V394" s="6"/>
      <c r="W394" s="6"/>
      <c r="X394" s="3"/>
      <c r="Y394" s="6"/>
      <c r="Z394" s="3"/>
      <c r="AA394" s="6"/>
      <c r="AB394" s="6"/>
      <c r="AC394" s="3"/>
    </row>
    <row r="395" spans="1:29" ht="15.75" customHeight="1" x14ac:dyDescent="0.2">
      <c r="A395" s="2"/>
      <c r="B395" s="2"/>
      <c r="C395" s="2"/>
      <c r="D395" s="14"/>
      <c r="E395" s="6"/>
      <c r="F395" s="3"/>
      <c r="G395" s="6"/>
      <c r="H395" s="6"/>
      <c r="I395" s="3"/>
      <c r="J395" s="6"/>
      <c r="K395" s="3"/>
      <c r="L395" s="6"/>
      <c r="M395" s="6"/>
      <c r="N395" s="3"/>
      <c r="O395" s="6"/>
      <c r="P395" s="3"/>
      <c r="Q395" s="6"/>
      <c r="R395" s="6"/>
      <c r="S395" s="3"/>
      <c r="T395" s="6"/>
      <c r="U395" s="3"/>
      <c r="V395" s="6"/>
      <c r="W395" s="6"/>
      <c r="X395" s="3"/>
      <c r="Y395" s="6"/>
      <c r="Z395" s="3"/>
      <c r="AA395" s="6"/>
      <c r="AB395" s="6"/>
      <c r="AC395" s="3"/>
    </row>
    <row r="396" spans="1:29" ht="15.75" customHeight="1" x14ac:dyDescent="0.2">
      <c r="A396" s="2"/>
      <c r="B396" s="2"/>
      <c r="C396" s="2"/>
      <c r="D396" s="14"/>
      <c r="E396" s="6"/>
      <c r="F396" s="3"/>
      <c r="G396" s="6"/>
      <c r="H396" s="6"/>
      <c r="I396" s="3"/>
      <c r="J396" s="6"/>
      <c r="K396" s="3"/>
      <c r="L396" s="6"/>
      <c r="M396" s="6"/>
      <c r="N396" s="3"/>
      <c r="O396" s="6"/>
      <c r="P396" s="3"/>
      <c r="Q396" s="6"/>
      <c r="R396" s="6"/>
      <c r="S396" s="3"/>
      <c r="T396" s="6"/>
      <c r="U396" s="3"/>
      <c r="V396" s="6"/>
      <c r="W396" s="6"/>
      <c r="X396" s="3"/>
      <c r="Y396" s="6"/>
      <c r="Z396" s="3"/>
      <c r="AA396" s="6"/>
      <c r="AB396" s="6"/>
      <c r="AC396" s="3"/>
    </row>
    <row r="397" spans="1:29" ht="15.75" customHeight="1" x14ac:dyDescent="0.2">
      <c r="A397" s="2"/>
      <c r="B397" s="2"/>
      <c r="C397" s="2"/>
      <c r="D397" s="14"/>
      <c r="E397" s="6"/>
      <c r="F397" s="3"/>
      <c r="G397" s="6"/>
      <c r="H397" s="6"/>
      <c r="I397" s="3"/>
      <c r="J397" s="6"/>
      <c r="K397" s="3"/>
      <c r="L397" s="6"/>
      <c r="M397" s="6"/>
      <c r="N397" s="3"/>
      <c r="O397" s="6"/>
      <c r="P397" s="3"/>
      <c r="Q397" s="6"/>
      <c r="R397" s="6"/>
      <c r="S397" s="3"/>
      <c r="T397" s="6"/>
      <c r="U397" s="3"/>
      <c r="V397" s="6"/>
      <c r="W397" s="6"/>
      <c r="X397" s="3"/>
      <c r="Y397" s="6"/>
      <c r="Z397" s="3"/>
      <c r="AA397" s="6"/>
      <c r="AB397" s="6"/>
      <c r="AC397" s="3"/>
    </row>
    <row r="398" spans="1:29" ht="15.75" customHeight="1" x14ac:dyDescent="0.2">
      <c r="A398" s="2"/>
      <c r="B398" s="2"/>
      <c r="C398" s="2"/>
      <c r="D398" s="14"/>
      <c r="E398" s="6"/>
      <c r="F398" s="3"/>
      <c r="G398" s="6"/>
      <c r="H398" s="6"/>
      <c r="I398" s="3"/>
      <c r="J398" s="6"/>
      <c r="K398" s="3"/>
      <c r="L398" s="6"/>
      <c r="M398" s="6"/>
      <c r="N398" s="3"/>
      <c r="O398" s="6"/>
      <c r="P398" s="3"/>
      <c r="Q398" s="6"/>
      <c r="R398" s="6"/>
      <c r="S398" s="3"/>
      <c r="T398" s="6"/>
      <c r="U398" s="3"/>
      <c r="V398" s="6"/>
      <c r="W398" s="6"/>
      <c r="X398" s="3"/>
      <c r="Y398" s="6"/>
      <c r="Z398" s="3"/>
      <c r="AA398" s="6"/>
      <c r="AB398" s="6"/>
      <c r="AC398" s="3"/>
    </row>
    <row r="399" spans="1:29" ht="15.75" customHeight="1" x14ac:dyDescent="0.2">
      <c r="A399" s="2"/>
      <c r="B399" s="2"/>
      <c r="C399" s="2"/>
      <c r="D399" s="14"/>
      <c r="E399" s="6"/>
      <c r="F399" s="3"/>
      <c r="G399" s="6"/>
      <c r="H399" s="6"/>
      <c r="I399" s="3"/>
      <c r="J399" s="6"/>
      <c r="K399" s="3"/>
      <c r="L399" s="6"/>
      <c r="M399" s="6"/>
      <c r="N399" s="3"/>
      <c r="O399" s="6"/>
      <c r="P399" s="3"/>
      <c r="Q399" s="6"/>
      <c r="R399" s="6"/>
      <c r="S399" s="3"/>
      <c r="T399" s="6"/>
      <c r="U399" s="3"/>
      <c r="V399" s="6"/>
      <c r="W399" s="6"/>
      <c r="X399" s="3"/>
      <c r="Y399" s="6"/>
      <c r="Z399" s="3"/>
      <c r="AA399" s="6"/>
      <c r="AB399" s="6"/>
      <c r="AC399" s="3"/>
    </row>
    <row r="400" spans="1:29" ht="15.75" customHeight="1" x14ac:dyDescent="0.2">
      <c r="A400" s="2"/>
      <c r="B400" s="2"/>
      <c r="C400" s="2"/>
      <c r="D400" s="14"/>
      <c r="E400" s="6"/>
      <c r="F400" s="3"/>
      <c r="G400" s="6"/>
      <c r="H400" s="6"/>
      <c r="I400" s="3"/>
      <c r="J400" s="6"/>
      <c r="K400" s="3"/>
      <c r="L400" s="6"/>
      <c r="M400" s="6"/>
      <c r="N400" s="3"/>
      <c r="O400" s="6"/>
      <c r="P400" s="3"/>
      <c r="Q400" s="6"/>
      <c r="R400" s="6"/>
      <c r="S400" s="3"/>
      <c r="T400" s="6"/>
      <c r="U400" s="3"/>
      <c r="V400" s="6"/>
      <c r="W400" s="6"/>
      <c r="X400" s="3"/>
      <c r="Y400" s="6"/>
      <c r="Z400" s="3"/>
      <c r="AA400" s="6"/>
      <c r="AB400" s="6"/>
      <c r="AC400" s="3"/>
    </row>
    <row r="401" spans="1:29" ht="15.75" customHeight="1" x14ac:dyDescent="0.2">
      <c r="A401" s="2"/>
      <c r="B401" s="2"/>
      <c r="C401" s="2"/>
      <c r="D401" s="14"/>
      <c r="E401" s="6"/>
      <c r="F401" s="3"/>
      <c r="G401" s="6"/>
      <c r="H401" s="6"/>
      <c r="I401" s="3"/>
      <c r="J401" s="6"/>
      <c r="K401" s="3"/>
      <c r="L401" s="6"/>
      <c r="M401" s="6"/>
      <c r="N401" s="3"/>
      <c r="O401" s="6"/>
      <c r="P401" s="3"/>
      <c r="Q401" s="6"/>
      <c r="R401" s="6"/>
      <c r="S401" s="3"/>
      <c r="T401" s="6"/>
      <c r="U401" s="3"/>
      <c r="V401" s="6"/>
      <c r="W401" s="6"/>
      <c r="X401" s="3"/>
      <c r="Y401" s="6"/>
      <c r="Z401" s="3"/>
      <c r="AA401" s="6"/>
      <c r="AB401" s="6"/>
      <c r="AC401" s="3"/>
    </row>
    <row r="402" spans="1:29" ht="15.75" customHeight="1" x14ac:dyDescent="0.2">
      <c r="A402" s="2"/>
      <c r="B402" s="2"/>
      <c r="C402" s="2"/>
      <c r="D402" s="14"/>
      <c r="E402" s="6"/>
      <c r="F402" s="3"/>
      <c r="G402" s="6"/>
      <c r="H402" s="6"/>
      <c r="I402" s="3"/>
      <c r="J402" s="6"/>
      <c r="K402" s="3"/>
      <c r="L402" s="6"/>
      <c r="M402" s="6"/>
      <c r="N402" s="3"/>
      <c r="O402" s="6"/>
      <c r="P402" s="3"/>
      <c r="Q402" s="6"/>
      <c r="R402" s="6"/>
      <c r="S402" s="3"/>
      <c r="T402" s="6"/>
      <c r="U402" s="3"/>
      <c r="V402" s="6"/>
      <c r="W402" s="6"/>
      <c r="X402" s="3"/>
      <c r="Y402" s="6"/>
      <c r="Z402" s="3"/>
      <c r="AA402" s="6"/>
      <c r="AB402" s="6"/>
      <c r="AC402" s="3"/>
    </row>
    <row r="403" spans="1:29" ht="15.75" customHeight="1" x14ac:dyDescent="0.2">
      <c r="A403" s="2"/>
      <c r="B403" s="2"/>
      <c r="C403" s="2"/>
      <c r="D403" s="14"/>
      <c r="E403" s="6"/>
      <c r="F403" s="3"/>
      <c r="G403" s="6"/>
      <c r="H403" s="6"/>
      <c r="I403" s="3"/>
      <c r="J403" s="6"/>
      <c r="K403" s="3"/>
      <c r="L403" s="6"/>
      <c r="M403" s="6"/>
      <c r="N403" s="3"/>
      <c r="O403" s="6"/>
      <c r="P403" s="3"/>
      <c r="Q403" s="6"/>
      <c r="R403" s="6"/>
      <c r="S403" s="3"/>
      <c r="T403" s="6"/>
      <c r="U403" s="3"/>
      <c r="V403" s="6"/>
      <c r="W403" s="6"/>
      <c r="X403" s="3"/>
      <c r="Y403" s="6"/>
      <c r="Z403" s="3"/>
      <c r="AA403" s="6"/>
      <c r="AB403" s="6"/>
      <c r="AC403" s="3"/>
    </row>
    <row r="404" spans="1:29" ht="15.75" customHeight="1" x14ac:dyDescent="0.2">
      <c r="A404" s="2"/>
      <c r="B404" s="2"/>
      <c r="C404" s="2"/>
      <c r="D404" s="14"/>
      <c r="E404" s="6"/>
      <c r="F404" s="3"/>
      <c r="G404" s="6"/>
      <c r="H404" s="6"/>
      <c r="I404" s="3"/>
      <c r="J404" s="6"/>
      <c r="K404" s="3"/>
      <c r="L404" s="6"/>
      <c r="M404" s="6"/>
      <c r="N404" s="3"/>
      <c r="O404" s="6"/>
      <c r="P404" s="3"/>
      <c r="Q404" s="6"/>
      <c r="R404" s="6"/>
      <c r="S404" s="3"/>
      <c r="T404" s="6"/>
      <c r="U404" s="3"/>
      <c r="V404" s="6"/>
      <c r="W404" s="6"/>
      <c r="X404" s="3"/>
      <c r="Y404" s="6"/>
      <c r="Z404" s="3"/>
      <c r="AA404" s="6"/>
      <c r="AB404" s="6"/>
      <c r="AC404" s="3"/>
    </row>
    <row r="405" spans="1:29" ht="15.75" customHeight="1" x14ac:dyDescent="0.2">
      <c r="A405" s="2"/>
      <c r="B405" s="2"/>
      <c r="C405" s="2"/>
      <c r="D405" s="14"/>
      <c r="E405" s="6"/>
      <c r="F405" s="3"/>
      <c r="G405" s="6"/>
      <c r="H405" s="6"/>
      <c r="I405" s="3"/>
      <c r="J405" s="6"/>
      <c r="K405" s="3"/>
      <c r="L405" s="6"/>
      <c r="M405" s="6"/>
      <c r="N405" s="3"/>
      <c r="O405" s="6"/>
      <c r="P405" s="3"/>
      <c r="Q405" s="6"/>
      <c r="R405" s="6"/>
      <c r="S405" s="3"/>
      <c r="T405" s="6"/>
      <c r="U405" s="3"/>
      <c r="V405" s="6"/>
      <c r="W405" s="6"/>
      <c r="X405" s="3"/>
      <c r="Y405" s="6"/>
      <c r="Z405" s="3"/>
      <c r="AA405" s="6"/>
      <c r="AB405" s="6"/>
      <c r="AC405" s="3"/>
    </row>
    <row r="406" spans="1:29" ht="15.75" customHeight="1" x14ac:dyDescent="0.2">
      <c r="A406" s="2"/>
      <c r="B406" s="2"/>
      <c r="C406" s="2"/>
      <c r="D406" s="14"/>
      <c r="E406" s="6"/>
      <c r="F406" s="3"/>
      <c r="G406" s="6"/>
      <c r="H406" s="6"/>
      <c r="I406" s="3"/>
      <c r="J406" s="6"/>
      <c r="K406" s="3"/>
      <c r="L406" s="6"/>
      <c r="M406" s="6"/>
      <c r="N406" s="3"/>
      <c r="O406" s="6"/>
      <c r="P406" s="3"/>
      <c r="Q406" s="6"/>
      <c r="R406" s="6"/>
      <c r="S406" s="3"/>
      <c r="T406" s="6"/>
      <c r="U406" s="3"/>
      <c r="V406" s="6"/>
      <c r="W406" s="6"/>
      <c r="X406" s="3"/>
      <c r="Y406" s="6"/>
      <c r="Z406" s="3"/>
      <c r="AA406" s="6"/>
      <c r="AB406" s="6"/>
      <c r="AC406" s="3"/>
    </row>
    <row r="407" spans="1:29" ht="15.75" customHeight="1" x14ac:dyDescent="0.2">
      <c r="A407" s="2"/>
      <c r="B407" s="2"/>
      <c r="C407" s="2"/>
      <c r="D407" s="14"/>
      <c r="E407" s="6"/>
      <c r="F407" s="3"/>
      <c r="G407" s="6"/>
      <c r="H407" s="6"/>
      <c r="I407" s="3"/>
      <c r="J407" s="6"/>
      <c r="K407" s="3"/>
      <c r="L407" s="6"/>
      <c r="M407" s="6"/>
      <c r="N407" s="3"/>
      <c r="O407" s="6"/>
      <c r="P407" s="3"/>
      <c r="Q407" s="6"/>
      <c r="R407" s="6"/>
      <c r="S407" s="3"/>
      <c r="T407" s="6"/>
      <c r="U407" s="3"/>
      <c r="V407" s="6"/>
      <c r="W407" s="6"/>
      <c r="X407" s="3"/>
      <c r="Y407" s="6"/>
      <c r="Z407" s="3"/>
      <c r="AA407" s="6"/>
      <c r="AB407" s="6"/>
      <c r="AC407" s="3"/>
    </row>
    <row r="408" spans="1:29" ht="15.75" customHeight="1" x14ac:dyDescent="0.2">
      <c r="A408" s="2"/>
      <c r="B408" s="2"/>
      <c r="C408" s="2"/>
      <c r="D408" s="14"/>
      <c r="E408" s="6"/>
      <c r="F408" s="3"/>
      <c r="G408" s="6"/>
      <c r="H408" s="6"/>
      <c r="I408" s="3"/>
      <c r="J408" s="6"/>
      <c r="K408" s="3"/>
      <c r="L408" s="6"/>
      <c r="M408" s="6"/>
      <c r="N408" s="3"/>
      <c r="O408" s="6"/>
      <c r="P408" s="3"/>
      <c r="Q408" s="6"/>
      <c r="R408" s="6"/>
      <c r="S408" s="3"/>
      <c r="T408" s="6"/>
      <c r="U408" s="3"/>
      <c r="V408" s="6"/>
      <c r="W408" s="6"/>
      <c r="X408" s="3"/>
      <c r="Y408" s="6"/>
      <c r="Z408" s="3"/>
      <c r="AA408" s="6"/>
      <c r="AB408" s="6"/>
      <c r="AC408" s="3"/>
    </row>
    <row r="409" spans="1:29" ht="15.75" customHeight="1" x14ac:dyDescent="0.2">
      <c r="A409" s="2"/>
      <c r="B409" s="2"/>
      <c r="C409" s="2"/>
      <c r="D409" s="14"/>
      <c r="E409" s="6"/>
      <c r="F409" s="3"/>
      <c r="G409" s="6"/>
      <c r="H409" s="6"/>
      <c r="I409" s="3"/>
      <c r="J409" s="6"/>
      <c r="K409" s="3"/>
      <c r="L409" s="6"/>
      <c r="M409" s="6"/>
      <c r="N409" s="3"/>
      <c r="O409" s="6"/>
      <c r="P409" s="3"/>
      <c r="Q409" s="6"/>
      <c r="R409" s="6"/>
      <c r="S409" s="3"/>
      <c r="T409" s="6"/>
      <c r="U409" s="3"/>
      <c r="V409" s="6"/>
      <c r="W409" s="6"/>
      <c r="X409" s="3"/>
      <c r="Y409" s="6"/>
      <c r="Z409" s="3"/>
      <c r="AA409" s="6"/>
      <c r="AB409" s="6"/>
      <c r="AC409" s="3"/>
    </row>
    <row r="410" spans="1:29" ht="15.75" customHeight="1" x14ac:dyDescent="0.2">
      <c r="A410" s="2"/>
      <c r="B410" s="2"/>
      <c r="C410" s="2"/>
      <c r="D410" s="14"/>
      <c r="E410" s="6"/>
      <c r="F410" s="3"/>
      <c r="G410" s="6"/>
      <c r="H410" s="6"/>
      <c r="I410" s="3"/>
      <c r="J410" s="6"/>
      <c r="K410" s="3"/>
      <c r="L410" s="6"/>
      <c r="M410" s="6"/>
      <c r="N410" s="3"/>
      <c r="O410" s="6"/>
      <c r="P410" s="3"/>
      <c r="Q410" s="6"/>
      <c r="R410" s="6"/>
      <c r="S410" s="3"/>
      <c r="T410" s="6"/>
      <c r="U410" s="3"/>
      <c r="V410" s="6"/>
      <c r="W410" s="6"/>
      <c r="X410" s="3"/>
      <c r="Y410" s="6"/>
      <c r="Z410" s="3"/>
      <c r="AA410" s="6"/>
      <c r="AB410" s="6"/>
      <c r="AC410" s="3"/>
    </row>
    <row r="411" spans="1:29" ht="15.75" customHeight="1" x14ac:dyDescent="0.2">
      <c r="A411" s="2"/>
      <c r="B411" s="2"/>
      <c r="C411" s="2"/>
      <c r="D411" s="14"/>
      <c r="E411" s="6"/>
      <c r="F411" s="3"/>
      <c r="G411" s="6"/>
      <c r="H411" s="6"/>
      <c r="I411" s="3"/>
      <c r="J411" s="6"/>
      <c r="K411" s="3"/>
      <c r="L411" s="6"/>
      <c r="M411" s="6"/>
      <c r="N411" s="3"/>
      <c r="O411" s="6"/>
      <c r="P411" s="3"/>
      <c r="Q411" s="6"/>
      <c r="R411" s="6"/>
      <c r="S411" s="3"/>
      <c r="T411" s="6"/>
      <c r="U411" s="3"/>
      <c r="V411" s="6"/>
      <c r="W411" s="6"/>
      <c r="X411" s="3"/>
      <c r="Y411" s="6"/>
      <c r="Z411" s="3"/>
      <c r="AA411" s="6"/>
      <c r="AB411" s="6"/>
      <c r="AC411" s="3"/>
    </row>
    <row r="412" spans="1:29" ht="15.75" customHeight="1" x14ac:dyDescent="0.2">
      <c r="A412" s="2"/>
      <c r="B412" s="2"/>
      <c r="C412" s="2"/>
      <c r="D412" s="14"/>
      <c r="E412" s="6"/>
      <c r="F412" s="3"/>
      <c r="G412" s="6"/>
      <c r="H412" s="6"/>
      <c r="I412" s="3"/>
      <c r="J412" s="6"/>
      <c r="K412" s="3"/>
      <c r="L412" s="6"/>
      <c r="M412" s="6"/>
      <c r="N412" s="3"/>
      <c r="O412" s="6"/>
      <c r="P412" s="3"/>
      <c r="Q412" s="6"/>
      <c r="R412" s="6"/>
      <c r="S412" s="3"/>
      <c r="T412" s="6"/>
      <c r="U412" s="3"/>
      <c r="V412" s="6"/>
      <c r="W412" s="6"/>
      <c r="X412" s="3"/>
      <c r="Y412" s="6"/>
      <c r="Z412" s="3"/>
      <c r="AA412" s="6"/>
      <c r="AB412" s="6"/>
      <c r="AC412" s="3"/>
    </row>
    <row r="413" spans="1:29" ht="15.75" customHeight="1" x14ac:dyDescent="0.2">
      <c r="A413" s="2"/>
      <c r="B413" s="2"/>
      <c r="C413" s="2"/>
      <c r="D413" s="14"/>
      <c r="E413" s="6"/>
      <c r="F413" s="3"/>
      <c r="G413" s="6"/>
      <c r="H413" s="6"/>
      <c r="I413" s="3"/>
      <c r="J413" s="6"/>
      <c r="K413" s="3"/>
      <c r="L413" s="6"/>
      <c r="M413" s="6"/>
      <c r="N413" s="3"/>
      <c r="O413" s="6"/>
      <c r="P413" s="3"/>
      <c r="Q413" s="6"/>
      <c r="R413" s="6"/>
      <c r="S413" s="3"/>
      <c r="T413" s="6"/>
      <c r="U413" s="3"/>
      <c r="V413" s="6"/>
      <c r="W413" s="6"/>
      <c r="X413" s="3"/>
      <c r="Y413" s="6"/>
      <c r="Z413" s="3"/>
      <c r="AA413" s="6"/>
      <c r="AB413" s="6"/>
      <c r="AC413" s="3"/>
    </row>
    <row r="414" spans="1:29" ht="15.75" customHeight="1" x14ac:dyDescent="0.2">
      <c r="A414" s="2"/>
      <c r="B414" s="2"/>
      <c r="C414" s="2"/>
      <c r="D414" s="14"/>
      <c r="E414" s="6"/>
      <c r="F414" s="3"/>
      <c r="G414" s="6"/>
      <c r="H414" s="6"/>
      <c r="I414" s="3"/>
      <c r="J414" s="6"/>
      <c r="K414" s="3"/>
      <c r="L414" s="6"/>
      <c r="M414" s="6"/>
      <c r="N414" s="3"/>
      <c r="O414" s="6"/>
      <c r="P414" s="3"/>
      <c r="Q414" s="6"/>
      <c r="R414" s="6"/>
      <c r="S414" s="3"/>
      <c r="T414" s="6"/>
      <c r="U414" s="3"/>
      <c r="V414" s="6"/>
      <c r="W414" s="6"/>
      <c r="X414" s="3"/>
      <c r="Y414" s="6"/>
      <c r="Z414" s="3"/>
      <c r="AA414" s="6"/>
      <c r="AB414" s="6"/>
      <c r="AC414" s="3"/>
    </row>
    <row r="415" spans="1:29" ht="15.75" customHeight="1" x14ac:dyDescent="0.2">
      <c r="A415" s="2"/>
      <c r="B415" s="2"/>
      <c r="C415" s="2"/>
      <c r="D415" s="14"/>
      <c r="E415" s="6"/>
      <c r="F415" s="3"/>
      <c r="G415" s="6"/>
      <c r="H415" s="6"/>
      <c r="I415" s="3"/>
      <c r="J415" s="6"/>
      <c r="K415" s="3"/>
      <c r="L415" s="6"/>
      <c r="M415" s="6"/>
      <c r="N415" s="3"/>
      <c r="O415" s="6"/>
      <c r="P415" s="3"/>
      <c r="Q415" s="6"/>
      <c r="R415" s="6"/>
      <c r="S415" s="3"/>
      <c r="T415" s="6"/>
      <c r="U415" s="3"/>
      <c r="V415" s="6"/>
      <c r="W415" s="6"/>
      <c r="X415" s="3"/>
      <c r="Y415" s="6"/>
      <c r="Z415" s="3"/>
      <c r="AA415" s="6"/>
      <c r="AB415" s="6"/>
      <c r="AC415" s="3"/>
    </row>
    <row r="416" spans="1:29" ht="15.75" customHeight="1" x14ac:dyDescent="0.2">
      <c r="A416" s="2"/>
      <c r="B416" s="2"/>
      <c r="C416" s="2"/>
      <c r="D416" s="14"/>
      <c r="E416" s="6"/>
      <c r="F416" s="3"/>
      <c r="G416" s="6"/>
      <c r="H416" s="6"/>
      <c r="I416" s="3"/>
      <c r="J416" s="6"/>
      <c r="K416" s="3"/>
      <c r="L416" s="6"/>
      <c r="M416" s="6"/>
      <c r="N416" s="3"/>
      <c r="O416" s="6"/>
      <c r="P416" s="3"/>
      <c r="Q416" s="6"/>
      <c r="R416" s="6"/>
      <c r="S416" s="3"/>
      <c r="T416" s="6"/>
      <c r="U416" s="3"/>
      <c r="V416" s="6"/>
      <c r="W416" s="6"/>
      <c r="X416" s="3"/>
      <c r="Y416" s="6"/>
      <c r="Z416" s="3"/>
      <c r="AA416" s="6"/>
      <c r="AB416" s="6"/>
      <c r="AC416" s="3"/>
    </row>
    <row r="417" spans="1:29" ht="15.75" customHeight="1" x14ac:dyDescent="0.2">
      <c r="A417" s="2"/>
      <c r="B417" s="2"/>
      <c r="C417" s="2"/>
      <c r="D417" s="14"/>
      <c r="E417" s="6"/>
      <c r="F417" s="3"/>
      <c r="G417" s="6"/>
      <c r="H417" s="6"/>
      <c r="I417" s="3"/>
      <c r="J417" s="6"/>
      <c r="K417" s="3"/>
      <c r="L417" s="6"/>
      <c r="M417" s="6"/>
      <c r="N417" s="3"/>
      <c r="O417" s="6"/>
      <c r="P417" s="3"/>
      <c r="Q417" s="6"/>
      <c r="R417" s="6"/>
      <c r="S417" s="3"/>
      <c r="T417" s="6"/>
      <c r="U417" s="3"/>
      <c r="V417" s="6"/>
      <c r="W417" s="6"/>
      <c r="X417" s="3"/>
      <c r="Y417" s="6"/>
      <c r="Z417" s="3"/>
      <c r="AA417" s="6"/>
      <c r="AB417" s="6"/>
      <c r="AC417" s="3"/>
    </row>
    <row r="418" spans="1:29" ht="15.75" customHeight="1" x14ac:dyDescent="0.2">
      <c r="A418" s="2"/>
      <c r="B418" s="2"/>
      <c r="C418" s="2"/>
      <c r="D418" s="14"/>
      <c r="E418" s="6"/>
      <c r="F418" s="3"/>
      <c r="G418" s="6"/>
      <c r="H418" s="6"/>
      <c r="I418" s="3"/>
      <c r="J418" s="6"/>
      <c r="K418" s="3"/>
      <c r="L418" s="6"/>
      <c r="M418" s="6"/>
      <c r="N418" s="3"/>
      <c r="O418" s="6"/>
      <c r="P418" s="3"/>
      <c r="Q418" s="6"/>
      <c r="R418" s="6"/>
      <c r="S418" s="3"/>
      <c r="T418" s="6"/>
      <c r="U418" s="3"/>
      <c r="V418" s="6"/>
      <c r="W418" s="6"/>
      <c r="X418" s="3"/>
      <c r="Y418" s="6"/>
      <c r="Z418" s="3"/>
      <c r="AA418" s="6"/>
      <c r="AB418" s="6"/>
      <c r="AC418" s="3"/>
    </row>
    <row r="419" spans="1:29" ht="15.75" customHeight="1" x14ac:dyDescent="0.2">
      <c r="A419" s="2"/>
      <c r="B419" s="2"/>
      <c r="C419" s="2"/>
      <c r="D419" s="14"/>
      <c r="E419" s="6"/>
      <c r="F419" s="3"/>
      <c r="G419" s="6"/>
      <c r="H419" s="6"/>
      <c r="I419" s="3"/>
      <c r="J419" s="6"/>
      <c r="K419" s="3"/>
      <c r="L419" s="6"/>
      <c r="M419" s="6"/>
      <c r="N419" s="3"/>
      <c r="O419" s="6"/>
      <c r="P419" s="3"/>
      <c r="Q419" s="6"/>
      <c r="R419" s="6"/>
      <c r="S419" s="3"/>
      <c r="T419" s="6"/>
      <c r="U419" s="3"/>
      <c r="V419" s="6"/>
      <c r="W419" s="6"/>
      <c r="X419" s="3"/>
      <c r="Y419" s="6"/>
      <c r="Z419" s="3"/>
      <c r="AA419" s="6"/>
      <c r="AB419" s="6"/>
      <c r="AC419" s="3"/>
    </row>
    <row r="420" spans="1:29" ht="15.75" customHeight="1" x14ac:dyDescent="0.2">
      <c r="A420" s="2"/>
      <c r="B420" s="2"/>
      <c r="C420" s="2"/>
      <c r="D420" s="14"/>
      <c r="E420" s="6"/>
      <c r="F420" s="3"/>
      <c r="G420" s="6"/>
      <c r="H420" s="6"/>
      <c r="I420" s="3"/>
      <c r="J420" s="6"/>
      <c r="K420" s="3"/>
      <c r="L420" s="6"/>
      <c r="M420" s="6"/>
      <c r="N420" s="3"/>
      <c r="O420" s="6"/>
      <c r="P420" s="3"/>
      <c r="Q420" s="6"/>
      <c r="R420" s="6"/>
      <c r="S420" s="3"/>
      <c r="T420" s="6"/>
      <c r="U420" s="3"/>
      <c r="V420" s="6"/>
      <c r="W420" s="6"/>
      <c r="X420" s="3"/>
      <c r="Y420" s="6"/>
      <c r="Z420" s="3"/>
      <c r="AA420" s="6"/>
      <c r="AB420" s="6"/>
      <c r="AC420" s="3"/>
    </row>
    <row r="421" spans="1:29" ht="15.75" customHeight="1" x14ac:dyDescent="0.2">
      <c r="A421" s="2"/>
      <c r="B421" s="2"/>
      <c r="C421" s="2"/>
      <c r="D421" s="14"/>
      <c r="E421" s="6"/>
      <c r="F421" s="3"/>
      <c r="G421" s="6"/>
      <c r="H421" s="6"/>
      <c r="I421" s="3"/>
      <c r="J421" s="6"/>
      <c r="K421" s="3"/>
      <c r="L421" s="6"/>
      <c r="M421" s="6"/>
      <c r="N421" s="3"/>
      <c r="O421" s="6"/>
      <c r="P421" s="3"/>
      <c r="Q421" s="6"/>
      <c r="R421" s="6"/>
      <c r="S421" s="3"/>
      <c r="T421" s="6"/>
      <c r="U421" s="3"/>
      <c r="V421" s="6"/>
      <c r="W421" s="6"/>
      <c r="X421" s="3"/>
      <c r="Y421" s="6"/>
      <c r="Z421" s="3"/>
      <c r="AA421" s="6"/>
      <c r="AB421" s="6"/>
      <c r="AC421" s="3"/>
    </row>
    <row r="422" spans="1:29" ht="15.75" customHeight="1" x14ac:dyDescent="0.2">
      <c r="A422" s="2"/>
      <c r="B422" s="2"/>
      <c r="C422" s="2"/>
      <c r="D422" s="14"/>
      <c r="E422" s="6"/>
      <c r="F422" s="3"/>
      <c r="G422" s="6"/>
      <c r="H422" s="6"/>
      <c r="I422" s="3"/>
      <c r="J422" s="6"/>
      <c r="K422" s="3"/>
      <c r="L422" s="6"/>
      <c r="M422" s="6"/>
      <c r="N422" s="3"/>
      <c r="O422" s="6"/>
      <c r="P422" s="3"/>
      <c r="Q422" s="6"/>
      <c r="R422" s="6"/>
      <c r="S422" s="3"/>
      <c r="T422" s="6"/>
      <c r="U422" s="3"/>
      <c r="V422" s="6"/>
      <c r="W422" s="6"/>
      <c r="X422" s="3"/>
      <c r="Y422" s="6"/>
      <c r="Z422" s="3"/>
      <c r="AA422" s="6"/>
      <c r="AB422" s="6"/>
      <c r="AC422" s="3"/>
    </row>
    <row r="423" spans="1:29" ht="15.75" customHeight="1" x14ac:dyDescent="0.2">
      <c r="A423" s="2"/>
      <c r="B423" s="2"/>
      <c r="C423" s="2"/>
      <c r="D423" s="14"/>
      <c r="E423" s="6"/>
      <c r="F423" s="3"/>
      <c r="G423" s="6"/>
      <c r="H423" s="6"/>
      <c r="I423" s="3"/>
      <c r="J423" s="6"/>
      <c r="K423" s="3"/>
      <c r="L423" s="6"/>
      <c r="M423" s="6"/>
      <c r="N423" s="3"/>
      <c r="O423" s="6"/>
      <c r="P423" s="3"/>
      <c r="Q423" s="6"/>
      <c r="R423" s="6"/>
      <c r="S423" s="3"/>
      <c r="T423" s="6"/>
      <c r="U423" s="3"/>
      <c r="V423" s="6"/>
      <c r="W423" s="6"/>
      <c r="X423" s="3"/>
      <c r="Y423" s="6"/>
      <c r="Z423" s="3"/>
      <c r="AA423" s="6"/>
      <c r="AB423" s="6"/>
      <c r="AC423" s="3"/>
    </row>
    <row r="424" spans="1:29" ht="15.75" customHeight="1" x14ac:dyDescent="0.2">
      <c r="A424" s="2"/>
      <c r="B424" s="2"/>
      <c r="C424" s="2"/>
      <c r="D424" s="14"/>
      <c r="E424" s="6"/>
      <c r="F424" s="3"/>
      <c r="G424" s="6"/>
      <c r="H424" s="6"/>
      <c r="I424" s="3"/>
      <c r="J424" s="6"/>
      <c r="K424" s="3"/>
      <c r="L424" s="6"/>
      <c r="M424" s="6"/>
      <c r="N424" s="3"/>
      <c r="O424" s="6"/>
      <c r="P424" s="3"/>
      <c r="Q424" s="6"/>
      <c r="R424" s="6"/>
      <c r="S424" s="3"/>
      <c r="T424" s="6"/>
      <c r="U424" s="3"/>
      <c r="V424" s="6"/>
      <c r="W424" s="6"/>
      <c r="X424" s="3"/>
      <c r="Y424" s="6"/>
      <c r="Z424" s="3"/>
      <c r="AA424" s="6"/>
      <c r="AB424" s="6"/>
      <c r="AC424" s="3"/>
    </row>
    <row r="425" spans="1:29" ht="15.75" customHeight="1" x14ac:dyDescent="0.2">
      <c r="A425" s="2"/>
      <c r="B425" s="2"/>
      <c r="C425" s="2"/>
      <c r="D425" s="14"/>
      <c r="E425" s="6"/>
      <c r="F425" s="3"/>
      <c r="G425" s="6"/>
      <c r="H425" s="6"/>
      <c r="I425" s="3"/>
      <c r="J425" s="6"/>
      <c r="K425" s="3"/>
      <c r="L425" s="6"/>
      <c r="M425" s="6"/>
      <c r="N425" s="3"/>
      <c r="O425" s="6"/>
      <c r="P425" s="3"/>
      <c r="Q425" s="6"/>
      <c r="R425" s="6"/>
      <c r="S425" s="3"/>
      <c r="T425" s="6"/>
      <c r="U425" s="3"/>
      <c r="V425" s="6"/>
      <c r="W425" s="6"/>
      <c r="X425" s="3"/>
      <c r="Y425" s="6"/>
      <c r="Z425" s="3"/>
      <c r="AA425" s="6"/>
      <c r="AB425" s="6"/>
      <c r="AC425" s="3"/>
    </row>
    <row r="426" spans="1:29" ht="15.75" customHeight="1" x14ac:dyDescent="0.2">
      <c r="A426" s="2"/>
      <c r="B426" s="2"/>
      <c r="C426" s="2"/>
      <c r="D426" s="14"/>
      <c r="E426" s="6"/>
      <c r="F426" s="3"/>
      <c r="G426" s="6"/>
      <c r="H426" s="6"/>
      <c r="I426" s="3"/>
      <c r="J426" s="6"/>
      <c r="K426" s="3"/>
      <c r="L426" s="6"/>
      <c r="M426" s="6"/>
      <c r="N426" s="3"/>
      <c r="O426" s="6"/>
      <c r="P426" s="3"/>
      <c r="Q426" s="6"/>
      <c r="R426" s="6"/>
      <c r="S426" s="3"/>
      <c r="T426" s="6"/>
      <c r="U426" s="3"/>
      <c r="V426" s="6"/>
      <c r="W426" s="6"/>
      <c r="X426" s="3"/>
      <c r="Y426" s="6"/>
      <c r="Z426" s="3"/>
      <c r="AA426" s="6"/>
      <c r="AB426" s="6"/>
      <c r="AC426" s="3"/>
    </row>
    <row r="427" spans="1:29" ht="15.75" customHeight="1" x14ac:dyDescent="0.2">
      <c r="A427" s="2"/>
      <c r="B427" s="2"/>
      <c r="C427" s="2"/>
      <c r="D427" s="14"/>
      <c r="E427" s="6"/>
      <c r="F427" s="3"/>
      <c r="G427" s="6"/>
      <c r="H427" s="6"/>
      <c r="I427" s="3"/>
      <c r="J427" s="6"/>
      <c r="K427" s="3"/>
      <c r="L427" s="6"/>
      <c r="M427" s="6"/>
      <c r="N427" s="3"/>
      <c r="O427" s="6"/>
      <c r="P427" s="3"/>
      <c r="Q427" s="6"/>
      <c r="R427" s="6"/>
      <c r="S427" s="3"/>
      <c r="T427" s="6"/>
      <c r="U427" s="3"/>
      <c r="V427" s="6"/>
      <c r="W427" s="6"/>
      <c r="X427" s="3"/>
      <c r="Y427" s="6"/>
      <c r="Z427" s="3"/>
      <c r="AA427" s="6"/>
      <c r="AB427" s="6"/>
      <c r="AC427" s="3"/>
    </row>
    <row r="428" spans="1:29" ht="15.75" customHeight="1" x14ac:dyDescent="0.2">
      <c r="A428" s="2"/>
      <c r="B428" s="2"/>
      <c r="C428" s="2"/>
      <c r="D428" s="14"/>
      <c r="E428" s="6"/>
      <c r="F428" s="3"/>
      <c r="G428" s="6"/>
      <c r="H428" s="6"/>
      <c r="I428" s="3"/>
      <c r="J428" s="6"/>
      <c r="K428" s="3"/>
      <c r="L428" s="6"/>
      <c r="M428" s="6"/>
      <c r="N428" s="3"/>
      <c r="O428" s="6"/>
      <c r="P428" s="3"/>
      <c r="Q428" s="6"/>
      <c r="R428" s="6"/>
      <c r="S428" s="3"/>
      <c r="T428" s="6"/>
      <c r="U428" s="3"/>
      <c r="V428" s="6"/>
      <c r="W428" s="6"/>
      <c r="X428" s="3"/>
      <c r="Y428" s="6"/>
      <c r="Z428" s="3"/>
      <c r="AA428" s="6"/>
      <c r="AB428" s="6"/>
      <c r="AC428" s="3"/>
    </row>
    <row r="429" spans="1:29" ht="15.75" customHeight="1" x14ac:dyDescent="0.2">
      <c r="A429" s="2"/>
      <c r="B429" s="2"/>
      <c r="C429" s="2"/>
      <c r="D429" s="14"/>
      <c r="E429" s="6"/>
      <c r="F429" s="3"/>
      <c r="G429" s="6"/>
      <c r="H429" s="6"/>
      <c r="I429" s="3"/>
      <c r="J429" s="6"/>
      <c r="K429" s="3"/>
      <c r="L429" s="6"/>
      <c r="M429" s="6"/>
      <c r="N429" s="3"/>
      <c r="O429" s="6"/>
      <c r="P429" s="3"/>
      <c r="Q429" s="6"/>
      <c r="R429" s="6"/>
      <c r="S429" s="3"/>
      <c r="T429" s="6"/>
      <c r="U429" s="3"/>
      <c r="V429" s="6"/>
      <c r="W429" s="6"/>
      <c r="X429" s="3"/>
      <c r="Y429" s="6"/>
      <c r="Z429" s="3"/>
      <c r="AA429" s="6"/>
      <c r="AB429" s="6"/>
      <c r="AC429" s="3"/>
    </row>
    <row r="430" spans="1:29" ht="15.75" customHeight="1" x14ac:dyDescent="0.2">
      <c r="A430" s="2"/>
      <c r="B430" s="2"/>
      <c r="C430" s="2"/>
      <c r="D430" s="14"/>
      <c r="E430" s="6"/>
      <c r="F430" s="3"/>
      <c r="G430" s="6"/>
      <c r="H430" s="6"/>
      <c r="I430" s="3"/>
      <c r="J430" s="6"/>
      <c r="K430" s="3"/>
      <c r="L430" s="6"/>
      <c r="M430" s="6"/>
      <c r="N430" s="3"/>
      <c r="O430" s="6"/>
      <c r="P430" s="3"/>
      <c r="Q430" s="6"/>
      <c r="R430" s="6"/>
      <c r="S430" s="3"/>
      <c r="T430" s="6"/>
      <c r="U430" s="3"/>
      <c r="V430" s="6"/>
      <c r="W430" s="6"/>
      <c r="X430" s="3"/>
      <c r="Y430" s="6"/>
      <c r="Z430" s="3"/>
      <c r="AA430" s="6"/>
      <c r="AB430" s="6"/>
      <c r="AC430" s="3"/>
    </row>
    <row r="431" spans="1:29" ht="15.75" customHeight="1" x14ac:dyDescent="0.2">
      <c r="A431" s="2"/>
      <c r="B431" s="2"/>
      <c r="C431" s="2"/>
      <c r="D431" s="14"/>
      <c r="E431" s="6"/>
      <c r="F431" s="3"/>
      <c r="G431" s="6"/>
      <c r="H431" s="6"/>
      <c r="I431" s="3"/>
      <c r="J431" s="6"/>
      <c r="K431" s="3"/>
      <c r="L431" s="6"/>
      <c r="M431" s="6"/>
      <c r="N431" s="3"/>
      <c r="O431" s="6"/>
      <c r="P431" s="3"/>
      <c r="Q431" s="6"/>
      <c r="R431" s="6"/>
      <c r="S431" s="3"/>
      <c r="T431" s="6"/>
      <c r="U431" s="3"/>
      <c r="V431" s="6"/>
      <c r="W431" s="6"/>
      <c r="X431" s="3"/>
      <c r="Y431" s="6"/>
      <c r="Z431" s="3"/>
      <c r="AA431" s="6"/>
      <c r="AB431" s="6"/>
      <c r="AC431" s="3"/>
    </row>
    <row r="432" spans="1:29" ht="15.75" customHeight="1" x14ac:dyDescent="0.2">
      <c r="A432" s="2"/>
      <c r="B432" s="2"/>
      <c r="C432" s="2"/>
      <c r="D432" s="14"/>
      <c r="E432" s="6"/>
      <c r="F432" s="3"/>
      <c r="G432" s="6"/>
      <c r="H432" s="6"/>
      <c r="I432" s="3"/>
      <c r="J432" s="6"/>
      <c r="K432" s="3"/>
      <c r="L432" s="6"/>
      <c r="M432" s="6"/>
      <c r="N432" s="3"/>
      <c r="O432" s="6"/>
      <c r="P432" s="3"/>
      <c r="Q432" s="6"/>
      <c r="R432" s="6"/>
      <c r="S432" s="3"/>
      <c r="T432" s="6"/>
      <c r="U432" s="3"/>
      <c r="V432" s="6"/>
      <c r="W432" s="6"/>
      <c r="X432" s="3"/>
      <c r="Y432" s="6"/>
      <c r="Z432" s="3"/>
      <c r="AA432" s="6"/>
      <c r="AB432" s="6"/>
      <c r="AC432" s="3"/>
    </row>
    <row r="433" spans="1:29" ht="15.75" customHeight="1" x14ac:dyDescent="0.2">
      <c r="A433" s="2"/>
      <c r="B433" s="2"/>
      <c r="C433" s="2"/>
      <c r="D433" s="14"/>
      <c r="E433" s="6"/>
      <c r="F433" s="3"/>
      <c r="G433" s="6"/>
      <c r="H433" s="6"/>
      <c r="I433" s="3"/>
      <c r="J433" s="6"/>
      <c r="K433" s="3"/>
      <c r="L433" s="6"/>
      <c r="M433" s="6"/>
      <c r="N433" s="3"/>
      <c r="O433" s="6"/>
      <c r="P433" s="3"/>
      <c r="Q433" s="6"/>
      <c r="R433" s="6"/>
      <c r="S433" s="3"/>
      <c r="T433" s="6"/>
      <c r="U433" s="3"/>
      <c r="V433" s="6"/>
      <c r="W433" s="6"/>
      <c r="X433" s="3"/>
      <c r="Y433" s="6"/>
      <c r="Z433" s="3"/>
      <c r="AA433" s="6"/>
      <c r="AB433" s="6"/>
      <c r="AC433" s="3"/>
    </row>
    <row r="434" spans="1:29" ht="15.75" customHeight="1" x14ac:dyDescent="0.2">
      <c r="A434" s="2"/>
      <c r="B434" s="2"/>
      <c r="C434" s="2"/>
      <c r="D434" s="14"/>
      <c r="E434" s="6"/>
      <c r="F434" s="3"/>
      <c r="G434" s="6"/>
      <c r="H434" s="6"/>
      <c r="I434" s="3"/>
      <c r="J434" s="6"/>
      <c r="K434" s="3"/>
      <c r="L434" s="6"/>
      <c r="M434" s="6"/>
      <c r="N434" s="3"/>
      <c r="O434" s="6"/>
      <c r="P434" s="3"/>
      <c r="Q434" s="6"/>
      <c r="R434" s="6"/>
      <c r="S434" s="3"/>
      <c r="T434" s="6"/>
      <c r="U434" s="3"/>
      <c r="V434" s="6"/>
      <c r="W434" s="6"/>
      <c r="X434" s="3"/>
      <c r="Y434" s="6"/>
      <c r="Z434" s="3"/>
      <c r="AA434" s="6"/>
      <c r="AB434" s="6"/>
      <c r="AC434" s="3"/>
    </row>
    <row r="435" spans="1:29" ht="15.75" customHeight="1" x14ac:dyDescent="0.2">
      <c r="A435" s="2"/>
      <c r="B435" s="2"/>
      <c r="C435" s="2"/>
      <c r="D435" s="14"/>
      <c r="E435" s="6"/>
      <c r="F435" s="3"/>
      <c r="G435" s="6"/>
      <c r="H435" s="6"/>
      <c r="I435" s="3"/>
      <c r="J435" s="6"/>
      <c r="K435" s="3"/>
      <c r="L435" s="6"/>
      <c r="M435" s="6"/>
      <c r="N435" s="3"/>
      <c r="O435" s="6"/>
      <c r="P435" s="3"/>
      <c r="Q435" s="6"/>
      <c r="R435" s="6"/>
      <c r="S435" s="3"/>
      <c r="T435" s="6"/>
      <c r="U435" s="3"/>
      <c r="V435" s="6"/>
      <c r="W435" s="6"/>
      <c r="X435" s="3"/>
      <c r="Y435" s="6"/>
      <c r="Z435" s="3"/>
      <c r="AA435" s="6"/>
      <c r="AB435" s="6"/>
      <c r="AC435" s="3"/>
    </row>
    <row r="436" spans="1:29" ht="15.75" customHeight="1" x14ac:dyDescent="0.2">
      <c r="A436" s="2"/>
      <c r="B436" s="2"/>
      <c r="C436" s="2"/>
      <c r="D436" s="14"/>
      <c r="E436" s="6"/>
      <c r="F436" s="3"/>
      <c r="G436" s="6"/>
      <c r="H436" s="6"/>
      <c r="I436" s="3"/>
      <c r="J436" s="6"/>
      <c r="K436" s="3"/>
      <c r="L436" s="6"/>
      <c r="M436" s="6"/>
      <c r="N436" s="3"/>
      <c r="O436" s="6"/>
      <c r="P436" s="3"/>
      <c r="Q436" s="6"/>
      <c r="R436" s="6"/>
      <c r="S436" s="3"/>
      <c r="T436" s="6"/>
      <c r="U436" s="3"/>
      <c r="V436" s="6"/>
      <c r="W436" s="6"/>
      <c r="X436" s="3"/>
      <c r="Y436" s="6"/>
      <c r="Z436" s="3"/>
      <c r="AA436" s="6"/>
      <c r="AB436" s="6"/>
      <c r="AC436" s="3"/>
    </row>
    <row r="437" spans="1:29" ht="15.75" customHeight="1" x14ac:dyDescent="0.2">
      <c r="A437" s="2"/>
      <c r="B437" s="2"/>
      <c r="C437" s="2"/>
      <c r="D437" s="14"/>
      <c r="E437" s="6"/>
      <c r="F437" s="3"/>
      <c r="G437" s="6"/>
      <c r="H437" s="6"/>
      <c r="I437" s="3"/>
      <c r="J437" s="6"/>
      <c r="K437" s="3"/>
      <c r="L437" s="6"/>
      <c r="M437" s="6"/>
      <c r="N437" s="3"/>
      <c r="O437" s="6"/>
      <c r="P437" s="3"/>
      <c r="Q437" s="6"/>
      <c r="R437" s="6"/>
      <c r="S437" s="3"/>
      <c r="T437" s="6"/>
      <c r="U437" s="3"/>
      <c r="V437" s="6"/>
      <c r="W437" s="6"/>
      <c r="X437" s="3"/>
      <c r="Y437" s="6"/>
      <c r="Z437" s="3"/>
      <c r="AA437" s="6"/>
      <c r="AB437" s="6"/>
      <c r="AC437" s="3"/>
    </row>
    <row r="438" spans="1:29" ht="15.75" customHeight="1" x14ac:dyDescent="0.2">
      <c r="A438" s="2"/>
      <c r="B438" s="2"/>
      <c r="C438" s="2"/>
      <c r="D438" s="14"/>
      <c r="E438" s="6"/>
      <c r="F438" s="3"/>
      <c r="G438" s="6"/>
      <c r="H438" s="6"/>
      <c r="I438" s="3"/>
      <c r="J438" s="6"/>
      <c r="K438" s="3"/>
      <c r="L438" s="6"/>
      <c r="M438" s="6"/>
      <c r="N438" s="3"/>
      <c r="O438" s="6"/>
      <c r="P438" s="3"/>
      <c r="Q438" s="6"/>
      <c r="R438" s="6"/>
      <c r="S438" s="3"/>
      <c r="T438" s="6"/>
      <c r="U438" s="3"/>
      <c r="V438" s="6"/>
      <c r="W438" s="6"/>
      <c r="X438" s="3"/>
      <c r="Y438" s="6"/>
      <c r="Z438" s="3"/>
      <c r="AA438" s="6"/>
      <c r="AB438" s="6"/>
      <c r="AC438" s="3"/>
    </row>
    <row r="439" spans="1:29" ht="15.75" customHeight="1" x14ac:dyDescent="0.2">
      <c r="A439" s="2"/>
      <c r="B439" s="2"/>
      <c r="C439" s="2"/>
      <c r="D439" s="14"/>
      <c r="E439" s="6"/>
      <c r="F439" s="3"/>
      <c r="G439" s="6"/>
      <c r="H439" s="6"/>
      <c r="I439" s="3"/>
      <c r="J439" s="6"/>
      <c r="K439" s="3"/>
      <c r="L439" s="6"/>
      <c r="M439" s="6"/>
      <c r="N439" s="3"/>
      <c r="O439" s="6"/>
      <c r="P439" s="3"/>
      <c r="Q439" s="6"/>
      <c r="R439" s="6"/>
      <c r="S439" s="3"/>
      <c r="T439" s="6"/>
      <c r="U439" s="3"/>
      <c r="V439" s="6"/>
      <c r="W439" s="6"/>
      <c r="X439" s="3"/>
      <c r="Y439" s="6"/>
      <c r="Z439" s="3"/>
      <c r="AA439" s="6"/>
      <c r="AB439" s="6"/>
      <c r="AC439" s="3"/>
    </row>
    <row r="440" spans="1:29" ht="15.75" customHeight="1" x14ac:dyDescent="0.2">
      <c r="A440" s="2"/>
      <c r="B440" s="2"/>
      <c r="C440" s="2"/>
      <c r="D440" s="14"/>
      <c r="E440" s="6"/>
      <c r="F440" s="3"/>
      <c r="G440" s="6"/>
      <c r="H440" s="6"/>
      <c r="I440" s="3"/>
      <c r="J440" s="6"/>
      <c r="K440" s="3"/>
      <c r="L440" s="6"/>
      <c r="M440" s="6"/>
      <c r="N440" s="3"/>
      <c r="O440" s="6"/>
      <c r="P440" s="3"/>
      <c r="Q440" s="6"/>
      <c r="R440" s="6"/>
      <c r="S440" s="3"/>
      <c r="T440" s="6"/>
      <c r="U440" s="3"/>
      <c r="V440" s="6"/>
      <c r="W440" s="6"/>
      <c r="X440" s="3"/>
      <c r="Y440" s="6"/>
      <c r="Z440" s="3"/>
      <c r="AA440" s="6"/>
      <c r="AB440" s="6"/>
      <c r="AC440" s="3"/>
    </row>
    <row r="441" spans="1:29" ht="15.75" customHeight="1" x14ac:dyDescent="0.2">
      <c r="A441" s="2"/>
      <c r="B441" s="2"/>
      <c r="C441" s="2"/>
      <c r="D441" s="14"/>
      <c r="E441" s="6"/>
      <c r="F441" s="3"/>
      <c r="G441" s="6"/>
      <c r="H441" s="6"/>
      <c r="I441" s="3"/>
      <c r="J441" s="6"/>
      <c r="K441" s="3"/>
      <c r="L441" s="6"/>
      <c r="M441" s="6"/>
      <c r="N441" s="3"/>
      <c r="O441" s="6"/>
      <c r="P441" s="3"/>
      <c r="Q441" s="6"/>
      <c r="R441" s="6"/>
      <c r="S441" s="3"/>
      <c r="T441" s="6"/>
      <c r="U441" s="3"/>
      <c r="V441" s="6"/>
      <c r="W441" s="6"/>
      <c r="X441" s="3"/>
      <c r="Y441" s="6"/>
      <c r="Z441" s="3"/>
      <c r="AA441" s="6"/>
      <c r="AB441" s="6"/>
      <c r="AC441" s="3"/>
    </row>
    <row r="442" spans="1:29" ht="15.75" customHeight="1" x14ac:dyDescent="0.2">
      <c r="A442" s="2"/>
      <c r="B442" s="2"/>
      <c r="C442" s="2"/>
      <c r="D442" s="14"/>
      <c r="E442" s="6"/>
      <c r="F442" s="3"/>
      <c r="G442" s="6"/>
      <c r="H442" s="6"/>
      <c r="I442" s="3"/>
      <c r="J442" s="6"/>
      <c r="K442" s="3"/>
      <c r="L442" s="6"/>
      <c r="M442" s="6"/>
      <c r="N442" s="3"/>
      <c r="O442" s="6"/>
      <c r="P442" s="3"/>
      <c r="Q442" s="6"/>
      <c r="R442" s="6"/>
      <c r="S442" s="3"/>
      <c r="T442" s="6"/>
      <c r="U442" s="3"/>
      <c r="V442" s="6"/>
      <c r="W442" s="6"/>
      <c r="X442" s="3"/>
      <c r="Y442" s="6"/>
      <c r="Z442" s="3"/>
      <c r="AA442" s="6"/>
      <c r="AB442" s="6"/>
      <c r="AC442" s="3"/>
    </row>
    <row r="443" spans="1:29" ht="15.75" customHeight="1" x14ac:dyDescent="0.2">
      <c r="A443" s="2"/>
      <c r="B443" s="2"/>
      <c r="C443" s="2"/>
      <c r="D443" s="14"/>
      <c r="E443" s="6"/>
      <c r="F443" s="3"/>
      <c r="G443" s="6"/>
      <c r="H443" s="6"/>
      <c r="I443" s="3"/>
      <c r="J443" s="6"/>
      <c r="K443" s="3"/>
      <c r="L443" s="6"/>
      <c r="M443" s="6"/>
      <c r="N443" s="3"/>
      <c r="O443" s="6"/>
      <c r="P443" s="3"/>
      <c r="Q443" s="6"/>
      <c r="R443" s="6"/>
      <c r="S443" s="3"/>
      <c r="T443" s="6"/>
      <c r="U443" s="3"/>
      <c r="V443" s="6"/>
      <c r="W443" s="6"/>
      <c r="X443" s="3"/>
      <c r="Y443" s="6"/>
      <c r="Z443" s="3"/>
      <c r="AA443" s="6"/>
      <c r="AB443" s="6"/>
      <c r="AC443" s="3"/>
    </row>
    <row r="444" spans="1:29" ht="15.75" customHeight="1" x14ac:dyDescent="0.2">
      <c r="A444" s="2"/>
      <c r="B444" s="2"/>
      <c r="C444" s="2"/>
      <c r="D444" s="14"/>
      <c r="E444" s="6"/>
      <c r="F444" s="3"/>
      <c r="G444" s="6"/>
      <c r="H444" s="6"/>
      <c r="I444" s="3"/>
      <c r="J444" s="6"/>
      <c r="K444" s="3"/>
      <c r="L444" s="6"/>
      <c r="M444" s="6"/>
      <c r="N444" s="3"/>
      <c r="O444" s="6"/>
      <c r="P444" s="3"/>
      <c r="Q444" s="6"/>
      <c r="R444" s="6"/>
      <c r="S444" s="3"/>
      <c r="T444" s="6"/>
      <c r="U444" s="3"/>
      <c r="V444" s="6"/>
      <c r="W444" s="6"/>
      <c r="X444" s="3"/>
      <c r="Y444" s="6"/>
      <c r="Z444" s="3"/>
      <c r="AA444" s="6"/>
      <c r="AB444" s="6"/>
      <c r="AC444" s="3"/>
    </row>
    <row r="445" spans="1:29" ht="15.75" customHeight="1" x14ac:dyDescent="0.2">
      <c r="A445" s="2"/>
      <c r="B445" s="2"/>
      <c r="C445" s="2"/>
      <c r="D445" s="14"/>
      <c r="E445" s="6"/>
      <c r="F445" s="3"/>
      <c r="G445" s="6"/>
      <c r="H445" s="6"/>
      <c r="I445" s="3"/>
      <c r="J445" s="6"/>
      <c r="K445" s="3"/>
      <c r="L445" s="6"/>
      <c r="M445" s="6"/>
      <c r="N445" s="3"/>
      <c r="O445" s="6"/>
      <c r="P445" s="3"/>
      <c r="Q445" s="6"/>
      <c r="R445" s="6"/>
      <c r="S445" s="3"/>
      <c r="T445" s="6"/>
      <c r="U445" s="3"/>
      <c r="V445" s="6"/>
      <c r="W445" s="6"/>
      <c r="X445" s="3"/>
      <c r="Y445" s="6"/>
      <c r="Z445" s="3"/>
      <c r="AA445" s="6"/>
      <c r="AB445" s="6"/>
      <c r="AC445" s="3"/>
    </row>
    <row r="446" spans="1:29" ht="15.75" customHeight="1" x14ac:dyDescent="0.2">
      <c r="A446" s="2"/>
      <c r="B446" s="2"/>
      <c r="C446" s="2"/>
      <c r="D446" s="14"/>
      <c r="E446" s="6"/>
      <c r="F446" s="3"/>
      <c r="G446" s="6"/>
      <c r="H446" s="6"/>
      <c r="I446" s="3"/>
      <c r="J446" s="6"/>
      <c r="K446" s="3"/>
      <c r="L446" s="6"/>
      <c r="M446" s="6"/>
      <c r="N446" s="3"/>
      <c r="O446" s="6"/>
      <c r="P446" s="3"/>
      <c r="Q446" s="6"/>
      <c r="R446" s="6"/>
      <c r="S446" s="3"/>
      <c r="T446" s="6"/>
      <c r="U446" s="3"/>
      <c r="V446" s="6"/>
      <c r="W446" s="6"/>
      <c r="X446" s="3"/>
      <c r="Y446" s="6"/>
      <c r="Z446" s="3"/>
      <c r="AA446" s="6"/>
      <c r="AB446" s="6"/>
      <c r="AC446" s="3"/>
    </row>
    <row r="447" spans="1:29" ht="15.75" customHeight="1" x14ac:dyDescent="0.2">
      <c r="A447" s="2"/>
      <c r="B447" s="2"/>
      <c r="C447" s="2"/>
      <c r="D447" s="14"/>
      <c r="E447" s="6"/>
      <c r="F447" s="3"/>
      <c r="G447" s="6"/>
      <c r="H447" s="6"/>
      <c r="I447" s="3"/>
      <c r="J447" s="6"/>
      <c r="K447" s="3"/>
      <c r="L447" s="6"/>
      <c r="M447" s="6"/>
      <c r="N447" s="3"/>
      <c r="O447" s="6"/>
      <c r="P447" s="3"/>
      <c r="Q447" s="6"/>
      <c r="R447" s="6"/>
      <c r="S447" s="3"/>
      <c r="T447" s="6"/>
      <c r="U447" s="3"/>
      <c r="V447" s="6"/>
      <c r="W447" s="6"/>
      <c r="X447" s="3"/>
      <c r="Y447" s="6"/>
      <c r="Z447" s="3"/>
      <c r="AA447" s="6"/>
      <c r="AB447" s="6"/>
      <c r="AC447" s="3"/>
    </row>
    <row r="448" spans="1:29" ht="15.75" customHeight="1" x14ac:dyDescent="0.2">
      <c r="A448" s="2"/>
      <c r="B448" s="2"/>
      <c r="C448" s="2"/>
      <c r="D448" s="14"/>
      <c r="E448" s="6"/>
      <c r="F448" s="3"/>
      <c r="G448" s="6"/>
      <c r="H448" s="6"/>
      <c r="I448" s="3"/>
      <c r="J448" s="6"/>
      <c r="K448" s="3"/>
      <c r="L448" s="6"/>
      <c r="M448" s="6"/>
      <c r="N448" s="3"/>
      <c r="O448" s="6"/>
      <c r="P448" s="3"/>
      <c r="Q448" s="6"/>
      <c r="R448" s="6"/>
      <c r="S448" s="3"/>
      <c r="T448" s="6"/>
      <c r="U448" s="3"/>
      <c r="V448" s="6"/>
      <c r="W448" s="6"/>
      <c r="X448" s="3"/>
      <c r="Y448" s="6"/>
      <c r="Z448" s="3"/>
      <c r="AA448" s="6"/>
      <c r="AB448" s="6"/>
      <c r="AC448" s="3"/>
    </row>
    <row r="449" spans="1:29" ht="15.75" customHeight="1" x14ac:dyDescent="0.2">
      <c r="A449" s="2"/>
      <c r="B449" s="2"/>
      <c r="C449" s="2"/>
      <c r="D449" s="14"/>
      <c r="E449" s="6"/>
      <c r="F449" s="3"/>
      <c r="G449" s="6"/>
      <c r="H449" s="6"/>
      <c r="I449" s="3"/>
      <c r="J449" s="6"/>
      <c r="K449" s="3"/>
      <c r="L449" s="6"/>
      <c r="M449" s="6"/>
      <c r="N449" s="3"/>
      <c r="O449" s="6"/>
      <c r="P449" s="3"/>
      <c r="Q449" s="6"/>
      <c r="R449" s="6"/>
      <c r="S449" s="3"/>
      <c r="T449" s="6"/>
      <c r="U449" s="3"/>
      <c r="V449" s="6"/>
      <c r="W449" s="6"/>
      <c r="X449" s="3"/>
      <c r="Y449" s="6"/>
      <c r="Z449" s="3"/>
      <c r="AA449" s="6"/>
      <c r="AB449" s="6"/>
      <c r="AC449" s="3"/>
    </row>
    <row r="450" spans="1:29" ht="15.75" customHeight="1" x14ac:dyDescent="0.2">
      <c r="A450" s="2"/>
      <c r="B450" s="2"/>
      <c r="C450" s="2"/>
      <c r="D450" s="14"/>
      <c r="E450" s="6"/>
      <c r="F450" s="3"/>
      <c r="G450" s="6"/>
      <c r="H450" s="6"/>
      <c r="I450" s="3"/>
      <c r="J450" s="6"/>
      <c r="K450" s="3"/>
      <c r="L450" s="6"/>
      <c r="M450" s="6"/>
      <c r="N450" s="3"/>
      <c r="O450" s="6"/>
      <c r="P450" s="3"/>
      <c r="Q450" s="6"/>
      <c r="R450" s="6"/>
      <c r="S450" s="3"/>
      <c r="T450" s="6"/>
      <c r="U450" s="3"/>
      <c r="V450" s="6"/>
      <c r="W450" s="6"/>
      <c r="X450" s="3"/>
      <c r="Y450" s="6"/>
      <c r="Z450" s="3"/>
      <c r="AA450" s="6"/>
      <c r="AB450" s="6"/>
      <c r="AC450" s="3"/>
    </row>
    <row r="451" spans="1:29" ht="15.75" customHeight="1" x14ac:dyDescent="0.2">
      <c r="A451" s="2"/>
      <c r="B451" s="2"/>
      <c r="C451" s="2"/>
      <c r="D451" s="14"/>
      <c r="E451" s="6"/>
      <c r="F451" s="3"/>
      <c r="G451" s="6"/>
      <c r="H451" s="6"/>
      <c r="I451" s="3"/>
      <c r="J451" s="6"/>
      <c r="K451" s="3"/>
      <c r="L451" s="6"/>
      <c r="M451" s="6"/>
      <c r="N451" s="3"/>
      <c r="O451" s="6"/>
      <c r="P451" s="3"/>
      <c r="Q451" s="6"/>
      <c r="R451" s="6"/>
      <c r="S451" s="3"/>
      <c r="T451" s="6"/>
      <c r="U451" s="3"/>
      <c r="V451" s="6"/>
      <c r="W451" s="6"/>
      <c r="X451" s="3"/>
      <c r="Y451" s="6"/>
      <c r="Z451" s="3"/>
      <c r="AA451" s="6"/>
      <c r="AB451" s="6"/>
      <c r="AC451" s="3"/>
    </row>
    <row r="452" spans="1:29" ht="15.75" customHeight="1" x14ac:dyDescent="0.2">
      <c r="A452" s="2"/>
      <c r="B452" s="2"/>
      <c r="C452" s="2"/>
      <c r="D452" s="14"/>
      <c r="E452" s="6"/>
      <c r="F452" s="3"/>
      <c r="G452" s="6"/>
      <c r="H452" s="6"/>
      <c r="I452" s="3"/>
      <c r="J452" s="6"/>
      <c r="K452" s="3"/>
      <c r="L452" s="6"/>
      <c r="M452" s="6"/>
      <c r="N452" s="3"/>
      <c r="O452" s="6"/>
      <c r="P452" s="3"/>
      <c r="Q452" s="6"/>
      <c r="R452" s="6"/>
      <c r="S452" s="3"/>
      <c r="T452" s="6"/>
      <c r="U452" s="3"/>
      <c r="V452" s="6"/>
      <c r="W452" s="6"/>
      <c r="X452" s="3"/>
      <c r="Y452" s="6"/>
      <c r="Z452" s="3"/>
      <c r="AA452" s="6"/>
      <c r="AB452" s="6"/>
      <c r="AC452" s="3"/>
    </row>
    <row r="453" spans="1:29" ht="15.75" customHeight="1" x14ac:dyDescent="0.2">
      <c r="A453" s="2"/>
      <c r="B453" s="2"/>
      <c r="C453" s="2"/>
      <c r="D453" s="14"/>
      <c r="E453" s="6"/>
      <c r="F453" s="3"/>
      <c r="G453" s="6"/>
      <c r="H453" s="6"/>
      <c r="I453" s="3"/>
      <c r="J453" s="6"/>
      <c r="K453" s="3"/>
      <c r="L453" s="6"/>
      <c r="M453" s="6"/>
      <c r="N453" s="3"/>
      <c r="O453" s="6"/>
      <c r="P453" s="3"/>
      <c r="Q453" s="6"/>
      <c r="R453" s="6"/>
      <c r="S453" s="3"/>
      <c r="T453" s="6"/>
      <c r="U453" s="3"/>
      <c r="V453" s="6"/>
      <c r="W453" s="6"/>
      <c r="X453" s="3"/>
      <c r="Y453" s="6"/>
      <c r="Z453" s="3"/>
      <c r="AA453" s="6"/>
      <c r="AB453" s="6"/>
      <c r="AC453" s="3"/>
    </row>
    <row r="454" spans="1:29" ht="15.75" customHeight="1" x14ac:dyDescent="0.2">
      <c r="A454" s="2"/>
      <c r="B454" s="2"/>
      <c r="C454" s="2"/>
      <c r="D454" s="14"/>
      <c r="E454" s="6"/>
      <c r="F454" s="3"/>
      <c r="G454" s="6"/>
      <c r="H454" s="6"/>
      <c r="I454" s="3"/>
      <c r="J454" s="6"/>
      <c r="K454" s="3"/>
      <c r="L454" s="6"/>
      <c r="M454" s="6"/>
      <c r="N454" s="3"/>
      <c r="O454" s="6"/>
      <c r="P454" s="3"/>
      <c r="Q454" s="6"/>
      <c r="R454" s="6"/>
      <c r="S454" s="3"/>
      <c r="T454" s="6"/>
      <c r="U454" s="3"/>
      <c r="V454" s="6"/>
      <c r="W454" s="6"/>
      <c r="X454" s="3"/>
      <c r="Y454" s="6"/>
      <c r="Z454" s="3"/>
      <c r="AA454" s="6"/>
      <c r="AB454" s="6"/>
      <c r="AC454" s="3"/>
    </row>
    <row r="455" spans="1:29" ht="15.75" customHeight="1" x14ac:dyDescent="0.2">
      <c r="A455" s="2"/>
      <c r="B455" s="2"/>
      <c r="C455" s="2"/>
      <c r="D455" s="14"/>
      <c r="E455" s="6"/>
      <c r="F455" s="3"/>
      <c r="G455" s="6"/>
      <c r="H455" s="6"/>
      <c r="I455" s="3"/>
      <c r="J455" s="6"/>
      <c r="K455" s="3"/>
      <c r="L455" s="6"/>
      <c r="M455" s="6"/>
      <c r="N455" s="3"/>
      <c r="O455" s="6"/>
      <c r="P455" s="3"/>
      <c r="Q455" s="6"/>
      <c r="R455" s="6"/>
      <c r="S455" s="3"/>
      <c r="T455" s="6"/>
      <c r="U455" s="3"/>
      <c r="V455" s="6"/>
      <c r="W455" s="6"/>
      <c r="X455" s="3"/>
      <c r="Y455" s="6"/>
      <c r="Z455" s="3"/>
      <c r="AA455" s="6"/>
      <c r="AB455" s="6"/>
      <c r="AC455" s="3"/>
    </row>
    <row r="456" spans="1:29" ht="15.75" customHeight="1" x14ac:dyDescent="0.2">
      <c r="A456" s="2"/>
      <c r="B456" s="2"/>
      <c r="C456" s="2"/>
      <c r="D456" s="14"/>
      <c r="E456" s="6"/>
      <c r="F456" s="3"/>
      <c r="G456" s="6"/>
      <c r="H456" s="6"/>
      <c r="I456" s="3"/>
      <c r="J456" s="6"/>
      <c r="K456" s="3"/>
      <c r="L456" s="6"/>
      <c r="M456" s="6"/>
      <c r="N456" s="3"/>
      <c r="O456" s="6"/>
      <c r="P456" s="3"/>
      <c r="Q456" s="6"/>
      <c r="R456" s="6"/>
      <c r="S456" s="3"/>
      <c r="T456" s="6"/>
      <c r="U456" s="3"/>
      <c r="V456" s="6"/>
      <c r="W456" s="6"/>
      <c r="X456" s="3"/>
      <c r="Y456" s="6"/>
      <c r="Z456" s="3"/>
      <c r="AA456" s="6"/>
      <c r="AB456" s="6"/>
      <c r="AC456" s="3"/>
    </row>
    <row r="457" spans="1:29" ht="15.75" customHeight="1" x14ac:dyDescent="0.2">
      <c r="A457" s="2"/>
      <c r="B457" s="2"/>
      <c r="C457" s="2"/>
      <c r="D457" s="14"/>
      <c r="E457" s="6"/>
      <c r="F457" s="3"/>
      <c r="G457" s="6"/>
      <c r="H457" s="6"/>
      <c r="I457" s="3"/>
      <c r="J457" s="6"/>
      <c r="K457" s="3"/>
      <c r="L457" s="6"/>
      <c r="M457" s="6"/>
      <c r="N457" s="3"/>
      <c r="O457" s="6"/>
      <c r="P457" s="3"/>
      <c r="Q457" s="6"/>
      <c r="R457" s="6"/>
      <c r="S457" s="3"/>
      <c r="T457" s="6"/>
      <c r="U457" s="3"/>
      <c r="V457" s="6"/>
      <c r="W457" s="6"/>
      <c r="X457" s="3"/>
      <c r="Y457" s="6"/>
      <c r="Z457" s="3"/>
      <c r="AA457" s="6"/>
      <c r="AB457" s="6"/>
      <c r="AC457" s="3"/>
    </row>
    <row r="458" spans="1:29" ht="15.75" customHeight="1" x14ac:dyDescent="0.2">
      <c r="A458" s="2"/>
      <c r="B458" s="2"/>
      <c r="C458" s="2"/>
      <c r="D458" s="14"/>
      <c r="E458" s="6"/>
      <c r="F458" s="3"/>
      <c r="G458" s="6"/>
      <c r="H458" s="6"/>
      <c r="I458" s="3"/>
      <c r="J458" s="6"/>
      <c r="K458" s="3"/>
      <c r="L458" s="6"/>
      <c r="M458" s="6"/>
      <c r="N458" s="3"/>
      <c r="O458" s="6"/>
      <c r="P458" s="3"/>
      <c r="Q458" s="6"/>
      <c r="R458" s="6"/>
      <c r="S458" s="3"/>
      <c r="T458" s="6"/>
      <c r="U458" s="3"/>
      <c r="V458" s="6"/>
      <c r="W458" s="6"/>
      <c r="X458" s="3"/>
      <c r="Y458" s="6"/>
      <c r="Z458" s="3"/>
      <c r="AA458" s="6"/>
      <c r="AB458" s="6"/>
      <c r="AC458" s="3"/>
    </row>
    <row r="459" spans="1:29" ht="15.75" customHeight="1" x14ac:dyDescent="0.2">
      <c r="A459" s="2"/>
      <c r="B459" s="2"/>
      <c r="C459" s="2"/>
      <c r="D459" s="14"/>
      <c r="E459" s="6"/>
      <c r="F459" s="3"/>
      <c r="G459" s="6"/>
      <c r="H459" s="6"/>
      <c r="I459" s="3"/>
      <c r="J459" s="6"/>
      <c r="K459" s="3"/>
      <c r="L459" s="6"/>
      <c r="M459" s="6"/>
      <c r="N459" s="3"/>
      <c r="O459" s="6"/>
      <c r="P459" s="3"/>
      <c r="Q459" s="6"/>
      <c r="R459" s="6"/>
      <c r="S459" s="3"/>
      <c r="T459" s="6"/>
      <c r="U459" s="3"/>
      <c r="V459" s="6"/>
      <c r="W459" s="6"/>
      <c r="X459" s="3"/>
      <c r="Y459" s="6"/>
      <c r="Z459" s="3"/>
      <c r="AA459" s="6"/>
      <c r="AB459" s="6"/>
      <c r="AC459" s="3"/>
    </row>
    <row r="460" spans="1:29" ht="15.75" customHeight="1" x14ac:dyDescent="0.2">
      <c r="A460" s="2"/>
      <c r="B460" s="2"/>
      <c r="C460" s="2"/>
      <c r="D460" s="14"/>
      <c r="E460" s="6"/>
      <c r="F460" s="3"/>
      <c r="G460" s="6"/>
      <c r="H460" s="6"/>
      <c r="I460" s="3"/>
      <c r="J460" s="6"/>
      <c r="K460" s="3"/>
      <c r="L460" s="6"/>
      <c r="M460" s="6"/>
      <c r="N460" s="3"/>
      <c r="O460" s="6"/>
      <c r="P460" s="3"/>
      <c r="Q460" s="6"/>
      <c r="R460" s="6"/>
      <c r="S460" s="3"/>
      <c r="T460" s="6"/>
      <c r="U460" s="3"/>
      <c r="V460" s="6"/>
      <c r="W460" s="6"/>
      <c r="X460" s="3"/>
      <c r="Y460" s="6"/>
      <c r="Z460" s="3"/>
      <c r="AA460" s="6"/>
      <c r="AB460" s="6"/>
      <c r="AC460" s="3"/>
    </row>
    <row r="461" spans="1:29" ht="15.75" customHeight="1" x14ac:dyDescent="0.2">
      <c r="A461" s="2"/>
      <c r="B461" s="2"/>
      <c r="C461" s="2"/>
      <c r="D461" s="14"/>
      <c r="E461" s="6"/>
      <c r="F461" s="3"/>
      <c r="G461" s="6"/>
      <c r="H461" s="6"/>
      <c r="I461" s="3"/>
      <c r="J461" s="6"/>
      <c r="K461" s="3"/>
      <c r="L461" s="6"/>
      <c r="M461" s="6"/>
      <c r="N461" s="3"/>
      <c r="O461" s="6"/>
      <c r="P461" s="3"/>
      <c r="Q461" s="6"/>
      <c r="R461" s="6"/>
      <c r="S461" s="3"/>
      <c r="T461" s="6"/>
      <c r="U461" s="3"/>
      <c r="V461" s="6"/>
      <c r="W461" s="6"/>
      <c r="X461" s="3"/>
      <c r="Y461" s="6"/>
      <c r="Z461" s="3"/>
      <c r="AA461" s="6"/>
      <c r="AB461" s="6"/>
      <c r="AC461" s="3"/>
    </row>
    <row r="462" spans="1:29" ht="15.75" customHeight="1" x14ac:dyDescent="0.2">
      <c r="A462" s="2"/>
      <c r="B462" s="2"/>
      <c r="C462" s="2"/>
      <c r="D462" s="14"/>
      <c r="E462" s="6"/>
      <c r="F462" s="3"/>
      <c r="G462" s="6"/>
      <c r="H462" s="6"/>
      <c r="I462" s="3"/>
      <c r="J462" s="6"/>
      <c r="K462" s="3"/>
      <c r="L462" s="6"/>
      <c r="M462" s="6"/>
      <c r="N462" s="3"/>
      <c r="O462" s="6"/>
      <c r="P462" s="3"/>
      <c r="Q462" s="6"/>
      <c r="R462" s="6"/>
      <c r="S462" s="3"/>
      <c r="T462" s="6"/>
      <c r="U462" s="3"/>
      <c r="V462" s="6"/>
      <c r="W462" s="6"/>
      <c r="X462" s="3"/>
      <c r="Y462" s="6"/>
      <c r="Z462" s="3"/>
      <c r="AA462" s="6"/>
      <c r="AB462" s="6"/>
      <c r="AC462" s="3"/>
    </row>
    <row r="463" spans="1:29" ht="15.75" customHeight="1" x14ac:dyDescent="0.2">
      <c r="A463" s="2"/>
      <c r="B463" s="2"/>
      <c r="C463" s="2"/>
      <c r="D463" s="14"/>
      <c r="E463" s="6"/>
      <c r="F463" s="3"/>
      <c r="G463" s="6"/>
      <c r="H463" s="6"/>
      <c r="I463" s="3"/>
      <c r="J463" s="6"/>
      <c r="K463" s="3"/>
      <c r="L463" s="6"/>
      <c r="M463" s="6"/>
      <c r="N463" s="3"/>
      <c r="O463" s="6"/>
      <c r="P463" s="3"/>
      <c r="Q463" s="6"/>
      <c r="R463" s="6"/>
      <c r="S463" s="3"/>
      <c r="T463" s="6"/>
      <c r="U463" s="3"/>
      <c r="V463" s="6"/>
      <c r="W463" s="6"/>
      <c r="X463" s="3"/>
      <c r="Y463" s="6"/>
      <c r="Z463" s="3"/>
      <c r="AA463" s="6"/>
      <c r="AB463" s="6"/>
      <c r="AC463" s="3"/>
    </row>
    <row r="464" spans="1:29" ht="15.75" customHeight="1" x14ac:dyDescent="0.2">
      <c r="A464" s="2"/>
      <c r="B464" s="2"/>
      <c r="C464" s="2"/>
      <c r="D464" s="14"/>
      <c r="E464" s="6"/>
      <c r="F464" s="3"/>
      <c r="G464" s="6"/>
      <c r="H464" s="6"/>
      <c r="I464" s="3"/>
      <c r="J464" s="6"/>
      <c r="K464" s="3"/>
      <c r="L464" s="6"/>
      <c r="M464" s="6"/>
      <c r="N464" s="3"/>
      <c r="O464" s="6"/>
      <c r="P464" s="3"/>
      <c r="Q464" s="6"/>
      <c r="R464" s="6"/>
      <c r="S464" s="3"/>
      <c r="T464" s="6"/>
      <c r="U464" s="3"/>
      <c r="V464" s="6"/>
      <c r="W464" s="6"/>
      <c r="X464" s="3"/>
      <c r="Y464" s="6"/>
      <c r="Z464" s="3"/>
      <c r="AA464" s="6"/>
      <c r="AB464" s="6"/>
      <c r="AC464" s="3"/>
    </row>
    <row r="465" spans="1:29" ht="15.75" customHeight="1" x14ac:dyDescent="0.2">
      <c r="A465" s="2"/>
      <c r="B465" s="2"/>
      <c r="C465" s="2"/>
      <c r="D465" s="14"/>
      <c r="E465" s="6"/>
      <c r="F465" s="3"/>
      <c r="G465" s="6"/>
      <c r="H465" s="6"/>
      <c r="I465" s="3"/>
      <c r="J465" s="6"/>
      <c r="K465" s="3"/>
      <c r="L465" s="6"/>
      <c r="M465" s="6"/>
      <c r="N465" s="3"/>
      <c r="O465" s="6"/>
      <c r="P465" s="3"/>
      <c r="Q465" s="6"/>
      <c r="R465" s="6"/>
      <c r="S465" s="3"/>
      <c r="T465" s="6"/>
      <c r="U465" s="3"/>
      <c r="V465" s="6"/>
      <c r="W465" s="6"/>
      <c r="X465" s="3"/>
      <c r="Y465" s="6"/>
      <c r="Z465" s="3"/>
      <c r="AA465" s="6"/>
      <c r="AB465" s="6"/>
      <c r="AC465" s="3"/>
    </row>
    <row r="466" spans="1:29" ht="15.75" customHeight="1" x14ac:dyDescent="0.2">
      <c r="A466" s="2"/>
      <c r="B466" s="2"/>
      <c r="C466" s="2"/>
      <c r="D466" s="14"/>
      <c r="E466" s="6"/>
      <c r="F466" s="3"/>
      <c r="G466" s="6"/>
      <c r="H466" s="6"/>
      <c r="I466" s="3"/>
      <c r="J466" s="6"/>
      <c r="K466" s="3"/>
      <c r="L466" s="6"/>
      <c r="M466" s="6"/>
      <c r="N466" s="3"/>
      <c r="O466" s="6"/>
      <c r="P466" s="3"/>
      <c r="Q466" s="6"/>
      <c r="R466" s="6"/>
      <c r="S466" s="3"/>
      <c r="T466" s="6"/>
      <c r="U466" s="3"/>
      <c r="V466" s="6"/>
      <c r="W466" s="6"/>
      <c r="X466" s="3"/>
      <c r="Y466" s="6"/>
      <c r="Z466" s="3"/>
      <c r="AA466" s="6"/>
      <c r="AB466" s="6"/>
      <c r="AC466" s="3"/>
    </row>
    <row r="467" spans="1:29" ht="15.75" customHeight="1" x14ac:dyDescent="0.2">
      <c r="A467" s="2"/>
      <c r="B467" s="2"/>
      <c r="C467" s="2"/>
      <c r="D467" s="14"/>
      <c r="E467" s="6"/>
      <c r="F467" s="3"/>
      <c r="G467" s="6"/>
      <c r="H467" s="6"/>
      <c r="I467" s="3"/>
      <c r="J467" s="6"/>
      <c r="K467" s="3"/>
      <c r="L467" s="6"/>
      <c r="M467" s="6"/>
      <c r="N467" s="3"/>
      <c r="O467" s="6"/>
      <c r="P467" s="3"/>
      <c r="Q467" s="6"/>
      <c r="R467" s="6"/>
      <c r="S467" s="3"/>
      <c r="T467" s="6"/>
      <c r="U467" s="3"/>
      <c r="V467" s="6"/>
      <c r="W467" s="6"/>
      <c r="X467" s="3"/>
      <c r="Y467" s="6"/>
      <c r="Z467" s="3"/>
      <c r="AA467" s="6"/>
      <c r="AB467" s="6"/>
      <c r="AC467" s="3"/>
    </row>
    <row r="468" spans="1:29" ht="15.75" customHeight="1" x14ac:dyDescent="0.2">
      <c r="A468" s="2"/>
      <c r="B468" s="2"/>
      <c r="C468" s="2"/>
      <c r="D468" s="14"/>
      <c r="E468" s="6"/>
      <c r="F468" s="3"/>
      <c r="G468" s="6"/>
      <c r="H468" s="6"/>
      <c r="I468" s="3"/>
      <c r="J468" s="6"/>
      <c r="K468" s="3"/>
      <c r="L468" s="6"/>
      <c r="M468" s="6"/>
      <c r="N468" s="3"/>
      <c r="O468" s="6"/>
      <c r="P468" s="3"/>
      <c r="Q468" s="6"/>
      <c r="R468" s="6"/>
      <c r="S468" s="3"/>
      <c r="T468" s="6"/>
      <c r="U468" s="3"/>
      <c r="V468" s="6"/>
      <c r="W468" s="6"/>
      <c r="X468" s="3"/>
      <c r="Y468" s="6"/>
      <c r="Z468" s="3"/>
      <c r="AA468" s="6"/>
      <c r="AB468" s="6"/>
      <c r="AC468" s="3"/>
    </row>
    <row r="469" spans="1:29" ht="15.75" customHeight="1" x14ac:dyDescent="0.2">
      <c r="A469" s="2"/>
      <c r="B469" s="2"/>
      <c r="C469" s="2"/>
      <c r="D469" s="14"/>
      <c r="E469" s="6"/>
      <c r="F469" s="3"/>
      <c r="G469" s="6"/>
      <c r="H469" s="6"/>
      <c r="I469" s="3"/>
      <c r="J469" s="6"/>
      <c r="K469" s="3"/>
      <c r="L469" s="6"/>
      <c r="M469" s="6"/>
      <c r="N469" s="3"/>
      <c r="O469" s="6"/>
      <c r="P469" s="3"/>
      <c r="Q469" s="6"/>
      <c r="R469" s="6"/>
      <c r="S469" s="3"/>
      <c r="T469" s="6"/>
      <c r="U469" s="3"/>
      <c r="V469" s="6"/>
      <c r="W469" s="6"/>
      <c r="X469" s="3"/>
      <c r="Y469" s="6"/>
      <c r="Z469" s="3"/>
      <c r="AA469" s="6"/>
      <c r="AB469" s="6"/>
      <c r="AC469" s="3"/>
    </row>
    <row r="470" spans="1:29" ht="15.75" customHeight="1" x14ac:dyDescent="0.2">
      <c r="A470" s="2"/>
      <c r="B470" s="2"/>
      <c r="C470" s="2"/>
      <c r="D470" s="14"/>
      <c r="E470" s="6"/>
      <c r="F470" s="3"/>
      <c r="G470" s="6"/>
      <c r="H470" s="6"/>
      <c r="I470" s="3"/>
      <c r="J470" s="6"/>
      <c r="K470" s="3"/>
      <c r="L470" s="6"/>
      <c r="M470" s="6"/>
      <c r="N470" s="3"/>
      <c r="O470" s="6"/>
      <c r="P470" s="3"/>
      <c r="Q470" s="6"/>
      <c r="R470" s="6"/>
      <c r="S470" s="3"/>
      <c r="T470" s="6"/>
      <c r="U470" s="3"/>
      <c r="V470" s="6"/>
      <c r="W470" s="6"/>
      <c r="X470" s="3"/>
      <c r="Y470" s="6"/>
      <c r="Z470" s="3"/>
      <c r="AA470" s="6"/>
      <c r="AB470" s="6"/>
      <c r="AC470" s="3"/>
    </row>
    <row r="471" spans="1:29" ht="15.75" customHeight="1" x14ac:dyDescent="0.2">
      <c r="A471" s="2"/>
      <c r="B471" s="2"/>
      <c r="C471" s="2"/>
      <c r="D471" s="14"/>
      <c r="E471" s="6"/>
      <c r="F471" s="3"/>
      <c r="G471" s="6"/>
      <c r="H471" s="6"/>
      <c r="I471" s="3"/>
      <c r="J471" s="6"/>
      <c r="K471" s="3"/>
      <c r="L471" s="6"/>
      <c r="M471" s="6"/>
      <c r="N471" s="3"/>
      <c r="O471" s="6"/>
      <c r="P471" s="3"/>
      <c r="Q471" s="6"/>
      <c r="R471" s="6"/>
      <c r="S471" s="3"/>
      <c r="T471" s="6"/>
      <c r="U471" s="3"/>
      <c r="V471" s="6"/>
      <c r="W471" s="6"/>
      <c r="X471" s="3"/>
      <c r="Y471" s="6"/>
      <c r="Z471" s="3"/>
      <c r="AA471" s="6"/>
      <c r="AB471" s="6"/>
      <c r="AC471" s="3"/>
    </row>
    <row r="472" spans="1:29" ht="15.75" customHeight="1" x14ac:dyDescent="0.2">
      <c r="A472" s="2"/>
      <c r="B472" s="2"/>
      <c r="C472" s="2"/>
      <c r="D472" s="14"/>
      <c r="E472" s="6"/>
      <c r="F472" s="3"/>
      <c r="G472" s="6"/>
      <c r="H472" s="6"/>
      <c r="I472" s="3"/>
      <c r="J472" s="6"/>
      <c r="K472" s="3"/>
      <c r="L472" s="6"/>
      <c r="M472" s="6"/>
      <c r="N472" s="3"/>
      <c r="O472" s="6"/>
      <c r="P472" s="3"/>
      <c r="Q472" s="6"/>
      <c r="R472" s="6"/>
      <c r="S472" s="3"/>
      <c r="T472" s="6"/>
      <c r="U472" s="3"/>
      <c r="V472" s="6"/>
      <c r="W472" s="6"/>
      <c r="X472" s="3"/>
      <c r="Y472" s="6"/>
      <c r="Z472" s="3"/>
      <c r="AA472" s="6"/>
      <c r="AB472" s="6"/>
      <c r="AC472" s="3"/>
    </row>
    <row r="473" spans="1:29" ht="15.75" customHeight="1" x14ac:dyDescent="0.2">
      <c r="A473" s="2"/>
      <c r="B473" s="2"/>
      <c r="C473" s="2"/>
      <c r="D473" s="14"/>
      <c r="E473" s="6"/>
      <c r="F473" s="3"/>
      <c r="G473" s="6"/>
      <c r="H473" s="6"/>
      <c r="I473" s="3"/>
      <c r="J473" s="6"/>
      <c r="K473" s="3"/>
      <c r="L473" s="6"/>
      <c r="M473" s="6"/>
      <c r="N473" s="3"/>
      <c r="O473" s="6"/>
      <c r="P473" s="3"/>
      <c r="Q473" s="6"/>
      <c r="R473" s="6"/>
      <c r="S473" s="3"/>
      <c r="T473" s="6"/>
      <c r="U473" s="3"/>
      <c r="V473" s="6"/>
      <c r="W473" s="6"/>
      <c r="X473" s="3"/>
      <c r="Y473" s="6"/>
      <c r="Z473" s="3"/>
      <c r="AA473" s="6"/>
      <c r="AB473" s="6"/>
      <c r="AC473" s="3"/>
    </row>
    <row r="474" spans="1:29" ht="15.75" customHeight="1" x14ac:dyDescent="0.2">
      <c r="A474" s="2"/>
      <c r="B474" s="2"/>
      <c r="C474" s="2"/>
      <c r="D474" s="14"/>
      <c r="E474" s="6"/>
      <c r="F474" s="3"/>
      <c r="G474" s="6"/>
      <c r="H474" s="6"/>
      <c r="I474" s="3"/>
      <c r="J474" s="6"/>
      <c r="K474" s="3"/>
      <c r="L474" s="6"/>
      <c r="M474" s="6"/>
      <c r="N474" s="3"/>
      <c r="O474" s="6"/>
      <c r="P474" s="3"/>
      <c r="Q474" s="6"/>
      <c r="R474" s="6"/>
      <c r="S474" s="3"/>
      <c r="T474" s="6"/>
      <c r="U474" s="3"/>
      <c r="V474" s="6"/>
      <c r="W474" s="6"/>
      <c r="X474" s="3"/>
      <c r="Y474" s="6"/>
      <c r="Z474" s="3"/>
      <c r="AA474" s="6"/>
      <c r="AB474" s="6"/>
      <c r="AC474" s="3"/>
    </row>
    <row r="475" spans="1:29" ht="15.75" customHeight="1" x14ac:dyDescent="0.2">
      <c r="A475" s="2"/>
      <c r="B475" s="2"/>
      <c r="C475" s="2"/>
      <c r="D475" s="14"/>
      <c r="E475" s="6"/>
      <c r="F475" s="3"/>
      <c r="G475" s="6"/>
      <c r="H475" s="6"/>
      <c r="I475" s="3"/>
      <c r="J475" s="6"/>
      <c r="K475" s="3"/>
      <c r="L475" s="6"/>
      <c r="M475" s="6"/>
      <c r="N475" s="3"/>
      <c r="O475" s="6"/>
      <c r="P475" s="3"/>
      <c r="Q475" s="6"/>
      <c r="R475" s="6"/>
      <c r="S475" s="3"/>
      <c r="T475" s="6"/>
      <c r="U475" s="3"/>
      <c r="V475" s="6"/>
      <c r="W475" s="6"/>
      <c r="X475" s="3"/>
      <c r="Y475" s="6"/>
      <c r="Z475" s="3"/>
      <c r="AA475" s="6"/>
      <c r="AB475" s="6"/>
      <c r="AC475" s="3"/>
    </row>
    <row r="476" spans="1:29" ht="15.75" customHeight="1" x14ac:dyDescent="0.2">
      <c r="A476" s="2"/>
      <c r="B476" s="2"/>
      <c r="C476" s="2"/>
      <c r="D476" s="14"/>
      <c r="E476" s="6"/>
      <c r="F476" s="3"/>
      <c r="G476" s="6"/>
      <c r="H476" s="6"/>
      <c r="I476" s="3"/>
      <c r="J476" s="6"/>
      <c r="K476" s="3"/>
      <c r="L476" s="6"/>
      <c r="M476" s="6"/>
      <c r="N476" s="3"/>
      <c r="O476" s="6"/>
      <c r="P476" s="3"/>
      <c r="Q476" s="6"/>
      <c r="R476" s="6"/>
      <c r="S476" s="3"/>
      <c r="T476" s="6"/>
      <c r="U476" s="3"/>
      <c r="V476" s="6"/>
      <c r="W476" s="6"/>
      <c r="X476" s="3"/>
      <c r="Y476" s="6"/>
      <c r="Z476" s="3"/>
      <c r="AA476" s="6"/>
      <c r="AB476" s="6"/>
      <c r="AC476" s="3"/>
    </row>
    <row r="477" spans="1:29" ht="15.75" customHeight="1" x14ac:dyDescent="0.2">
      <c r="A477" s="2"/>
      <c r="B477" s="2"/>
      <c r="C477" s="2"/>
      <c r="D477" s="14"/>
      <c r="E477" s="6"/>
      <c r="F477" s="3"/>
      <c r="G477" s="6"/>
      <c r="H477" s="6"/>
      <c r="I477" s="3"/>
      <c r="J477" s="6"/>
      <c r="K477" s="3"/>
      <c r="L477" s="6"/>
      <c r="M477" s="6"/>
      <c r="N477" s="3"/>
      <c r="O477" s="6"/>
      <c r="P477" s="3"/>
      <c r="Q477" s="6"/>
      <c r="R477" s="6"/>
      <c r="S477" s="3"/>
      <c r="T477" s="6"/>
      <c r="U477" s="3"/>
      <c r="V477" s="6"/>
      <c r="W477" s="6"/>
      <c r="X477" s="3"/>
      <c r="Y477" s="6"/>
      <c r="Z477" s="3"/>
      <c r="AA477" s="6"/>
      <c r="AB477" s="6"/>
      <c r="AC477" s="3"/>
    </row>
    <row r="478" spans="1:29" ht="15.75" customHeight="1" x14ac:dyDescent="0.2">
      <c r="A478" s="2"/>
      <c r="B478" s="2"/>
      <c r="C478" s="2"/>
      <c r="D478" s="14"/>
      <c r="E478" s="6"/>
      <c r="F478" s="3"/>
      <c r="G478" s="6"/>
      <c r="H478" s="6"/>
      <c r="I478" s="3"/>
      <c r="J478" s="6"/>
      <c r="K478" s="3"/>
      <c r="L478" s="6"/>
      <c r="M478" s="6"/>
      <c r="N478" s="3"/>
      <c r="O478" s="6"/>
      <c r="P478" s="3"/>
      <c r="Q478" s="6"/>
      <c r="R478" s="6"/>
      <c r="S478" s="3"/>
      <c r="T478" s="6"/>
      <c r="U478" s="3"/>
      <c r="V478" s="6"/>
      <c r="W478" s="6"/>
      <c r="X478" s="3"/>
      <c r="Y478" s="6"/>
      <c r="Z478" s="3"/>
      <c r="AA478" s="6"/>
      <c r="AB478" s="6"/>
      <c r="AC478" s="3"/>
    </row>
    <row r="479" spans="1:29" ht="15.75" customHeight="1" x14ac:dyDescent="0.2">
      <c r="A479" s="2"/>
      <c r="B479" s="2"/>
      <c r="C479" s="2"/>
      <c r="D479" s="14"/>
      <c r="E479" s="6"/>
      <c r="F479" s="3"/>
      <c r="G479" s="6"/>
      <c r="H479" s="6"/>
      <c r="I479" s="3"/>
      <c r="J479" s="6"/>
      <c r="K479" s="3"/>
      <c r="L479" s="6"/>
      <c r="M479" s="6"/>
      <c r="N479" s="3"/>
      <c r="O479" s="6"/>
      <c r="P479" s="3"/>
      <c r="Q479" s="6"/>
      <c r="R479" s="6"/>
      <c r="S479" s="3"/>
      <c r="T479" s="6"/>
      <c r="U479" s="3"/>
      <c r="V479" s="6"/>
      <c r="W479" s="6"/>
      <c r="X479" s="3"/>
      <c r="Y479" s="6"/>
      <c r="Z479" s="3"/>
      <c r="AA479" s="6"/>
      <c r="AB479" s="6"/>
      <c r="AC479" s="3"/>
    </row>
    <row r="480" spans="1:29" ht="15.75" customHeight="1" x14ac:dyDescent="0.2">
      <c r="A480" s="2"/>
      <c r="B480" s="2"/>
      <c r="C480" s="2"/>
      <c r="D480" s="14"/>
      <c r="E480" s="6"/>
      <c r="F480" s="3"/>
      <c r="G480" s="6"/>
      <c r="H480" s="6"/>
      <c r="I480" s="3"/>
      <c r="J480" s="6"/>
      <c r="K480" s="3"/>
      <c r="L480" s="6"/>
      <c r="M480" s="6"/>
      <c r="N480" s="3"/>
      <c r="O480" s="6"/>
      <c r="P480" s="3"/>
      <c r="Q480" s="6"/>
      <c r="R480" s="6"/>
      <c r="S480" s="3"/>
      <c r="T480" s="6"/>
      <c r="U480" s="3"/>
      <c r="V480" s="6"/>
      <c r="W480" s="6"/>
      <c r="X480" s="3"/>
      <c r="Y480" s="6"/>
      <c r="Z480" s="3"/>
      <c r="AA480" s="6"/>
      <c r="AB480" s="6"/>
      <c r="AC480" s="3"/>
    </row>
    <row r="481" spans="1:29" ht="15.75" customHeight="1" x14ac:dyDescent="0.2">
      <c r="A481" s="2"/>
      <c r="B481" s="2"/>
      <c r="C481" s="2"/>
      <c r="D481" s="14"/>
      <c r="E481" s="6"/>
      <c r="F481" s="3"/>
      <c r="G481" s="6"/>
      <c r="H481" s="6"/>
      <c r="I481" s="3"/>
      <c r="J481" s="6"/>
      <c r="K481" s="3"/>
      <c r="L481" s="6"/>
      <c r="M481" s="6"/>
      <c r="N481" s="3"/>
      <c r="O481" s="6"/>
      <c r="P481" s="3"/>
      <c r="Q481" s="6"/>
      <c r="R481" s="6"/>
      <c r="S481" s="3"/>
      <c r="T481" s="6"/>
      <c r="U481" s="3"/>
      <c r="V481" s="6"/>
      <c r="W481" s="6"/>
      <c r="X481" s="3"/>
      <c r="Y481" s="6"/>
      <c r="Z481" s="3"/>
      <c r="AA481" s="6"/>
      <c r="AB481" s="6"/>
      <c r="AC481" s="3"/>
    </row>
    <row r="482" spans="1:29" ht="15.75" customHeight="1" x14ac:dyDescent="0.2">
      <c r="A482" s="2"/>
      <c r="B482" s="2"/>
      <c r="C482" s="2"/>
      <c r="D482" s="14"/>
      <c r="E482" s="6"/>
      <c r="F482" s="3"/>
      <c r="G482" s="6"/>
      <c r="H482" s="6"/>
      <c r="I482" s="3"/>
      <c r="J482" s="6"/>
      <c r="K482" s="3"/>
      <c r="L482" s="6"/>
      <c r="M482" s="6"/>
      <c r="N482" s="3"/>
      <c r="O482" s="6"/>
      <c r="P482" s="3"/>
      <c r="Q482" s="6"/>
      <c r="R482" s="6"/>
      <c r="S482" s="3"/>
      <c r="T482" s="6"/>
      <c r="U482" s="3"/>
      <c r="V482" s="6"/>
      <c r="W482" s="6"/>
      <c r="X482" s="3"/>
      <c r="Y482" s="6"/>
      <c r="Z482" s="3"/>
      <c r="AA482" s="6"/>
      <c r="AB482" s="6"/>
      <c r="AC482" s="3"/>
    </row>
    <row r="483" spans="1:29" ht="15.75" customHeight="1" x14ac:dyDescent="0.2">
      <c r="A483" s="2"/>
      <c r="B483" s="2"/>
      <c r="C483" s="2"/>
      <c r="D483" s="14"/>
      <c r="E483" s="6"/>
      <c r="F483" s="3"/>
      <c r="G483" s="6"/>
      <c r="H483" s="6"/>
      <c r="I483" s="3"/>
      <c r="J483" s="6"/>
      <c r="K483" s="3"/>
      <c r="L483" s="6"/>
      <c r="M483" s="6"/>
      <c r="N483" s="3"/>
      <c r="O483" s="6"/>
      <c r="P483" s="3"/>
      <c r="Q483" s="6"/>
      <c r="R483" s="6"/>
      <c r="S483" s="3"/>
      <c r="T483" s="6"/>
      <c r="U483" s="3"/>
      <c r="V483" s="6"/>
      <c r="W483" s="6"/>
      <c r="X483" s="3"/>
      <c r="Y483" s="6"/>
      <c r="Z483" s="3"/>
      <c r="AA483" s="6"/>
      <c r="AB483" s="6"/>
      <c r="AC483" s="3"/>
    </row>
    <row r="484" spans="1:29" ht="15.75" customHeight="1" x14ac:dyDescent="0.2">
      <c r="A484" s="2"/>
      <c r="B484" s="2"/>
      <c r="C484" s="2"/>
      <c r="D484" s="14"/>
      <c r="E484" s="6"/>
      <c r="F484" s="3"/>
      <c r="G484" s="6"/>
      <c r="H484" s="6"/>
      <c r="I484" s="3"/>
      <c r="J484" s="6"/>
      <c r="K484" s="3"/>
      <c r="L484" s="6"/>
      <c r="M484" s="6"/>
      <c r="N484" s="3"/>
      <c r="O484" s="6"/>
      <c r="P484" s="3"/>
      <c r="Q484" s="6"/>
      <c r="R484" s="6"/>
      <c r="S484" s="3"/>
      <c r="T484" s="6"/>
      <c r="U484" s="3"/>
      <c r="V484" s="6"/>
      <c r="W484" s="6"/>
      <c r="X484" s="3"/>
      <c r="Y484" s="6"/>
      <c r="Z484" s="3"/>
      <c r="AA484" s="6"/>
      <c r="AB484" s="6"/>
      <c r="AC484" s="3"/>
    </row>
    <row r="485" spans="1:29" ht="15.75" customHeight="1" x14ac:dyDescent="0.2">
      <c r="A485" s="2"/>
      <c r="B485" s="2"/>
      <c r="C485" s="2"/>
      <c r="D485" s="14"/>
      <c r="E485" s="6"/>
      <c r="F485" s="3"/>
      <c r="G485" s="6"/>
      <c r="H485" s="6"/>
      <c r="I485" s="3"/>
      <c r="J485" s="6"/>
      <c r="K485" s="3"/>
      <c r="L485" s="6"/>
      <c r="M485" s="6"/>
      <c r="N485" s="3"/>
      <c r="O485" s="6"/>
      <c r="P485" s="3"/>
      <c r="Q485" s="6"/>
      <c r="R485" s="6"/>
      <c r="S485" s="3"/>
      <c r="T485" s="6"/>
      <c r="U485" s="3"/>
      <c r="V485" s="6"/>
      <c r="W485" s="6"/>
      <c r="X485" s="3"/>
      <c r="Y485" s="6"/>
      <c r="Z485" s="3"/>
      <c r="AA485" s="6"/>
      <c r="AB485" s="6"/>
      <c r="AC485" s="3"/>
    </row>
    <row r="486" spans="1:29" ht="15.75" customHeight="1" x14ac:dyDescent="0.2">
      <c r="A486" s="2"/>
      <c r="B486" s="2"/>
      <c r="C486" s="2"/>
      <c r="D486" s="14"/>
      <c r="E486" s="6"/>
      <c r="F486" s="3"/>
      <c r="G486" s="6"/>
      <c r="H486" s="6"/>
      <c r="I486" s="3"/>
      <c r="J486" s="6"/>
      <c r="K486" s="3"/>
      <c r="L486" s="6"/>
      <c r="M486" s="6"/>
      <c r="N486" s="3"/>
      <c r="O486" s="6"/>
      <c r="P486" s="3"/>
      <c r="Q486" s="6"/>
      <c r="R486" s="6"/>
      <c r="S486" s="3"/>
      <c r="T486" s="6"/>
      <c r="U486" s="3"/>
      <c r="V486" s="6"/>
      <c r="W486" s="6"/>
      <c r="X486" s="3"/>
      <c r="Y486" s="6"/>
      <c r="Z486" s="3"/>
      <c r="AA486" s="6"/>
      <c r="AB486" s="6"/>
      <c r="AC486" s="3"/>
    </row>
    <row r="487" spans="1:29" ht="15.75" customHeight="1" x14ac:dyDescent="0.2">
      <c r="A487" s="2"/>
      <c r="B487" s="2"/>
      <c r="C487" s="2"/>
      <c r="D487" s="14"/>
      <c r="E487" s="6"/>
      <c r="F487" s="3"/>
      <c r="G487" s="6"/>
      <c r="H487" s="6"/>
      <c r="I487" s="3"/>
      <c r="J487" s="6"/>
      <c r="K487" s="3"/>
      <c r="L487" s="6"/>
      <c r="M487" s="6"/>
      <c r="N487" s="3"/>
      <c r="O487" s="6"/>
      <c r="P487" s="3"/>
      <c r="Q487" s="6"/>
      <c r="R487" s="6"/>
      <c r="S487" s="3"/>
      <c r="T487" s="6"/>
      <c r="U487" s="3"/>
      <c r="V487" s="6"/>
      <c r="W487" s="6"/>
      <c r="X487" s="3"/>
      <c r="Y487" s="6"/>
      <c r="Z487" s="3"/>
      <c r="AA487" s="6"/>
      <c r="AB487" s="6"/>
      <c r="AC487" s="3"/>
    </row>
    <row r="488" spans="1:29" ht="15.75" customHeight="1" x14ac:dyDescent="0.2">
      <c r="A488" s="2"/>
      <c r="B488" s="2"/>
      <c r="C488" s="2"/>
      <c r="D488" s="14"/>
      <c r="E488" s="6"/>
      <c r="F488" s="3"/>
      <c r="G488" s="6"/>
      <c r="H488" s="6"/>
      <c r="I488" s="3"/>
      <c r="J488" s="6"/>
      <c r="K488" s="3"/>
      <c r="L488" s="6"/>
      <c r="M488" s="6"/>
      <c r="N488" s="3"/>
      <c r="O488" s="6"/>
      <c r="P488" s="3"/>
      <c r="Q488" s="6"/>
      <c r="R488" s="6"/>
      <c r="S488" s="3"/>
      <c r="T488" s="6"/>
      <c r="U488" s="3"/>
      <c r="V488" s="6"/>
      <c r="W488" s="6"/>
      <c r="X488" s="3"/>
      <c r="Y488" s="6"/>
      <c r="Z488" s="3"/>
      <c r="AA488" s="6"/>
      <c r="AB488" s="6"/>
      <c r="AC488" s="3"/>
    </row>
    <row r="489" spans="1:29" ht="15.75" customHeight="1" x14ac:dyDescent="0.2">
      <c r="A489" s="2"/>
      <c r="B489" s="2"/>
      <c r="C489" s="2"/>
      <c r="D489" s="14"/>
      <c r="E489" s="6"/>
      <c r="F489" s="3"/>
      <c r="G489" s="6"/>
      <c r="H489" s="6"/>
      <c r="I489" s="3"/>
      <c r="J489" s="6"/>
      <c r="K489" s="3"/>
      <c r="L489" s="6"/>
      <c r="M489" s="6"/>
      <c r="N489" s="3"/>
      <c r="O489" s="6"/>
      <c r="P489" s="3"/>
      <c r="Q489" s="6"/>
      <c r="R489" s="6"/>
      <c r="S489" s="3"/>
      <c r="T489" s="6"/>
      <c r="U489" s="3"/>
      <c r="V489" s="6"/>
      <c r="W489" s="6"/>
      <c r="X489" s="3"/>
      <c r="Y489" s="6"/>
      <c r="Z489" s="3"/>
      <c r="AA489" s="6"/>
      <c r="AB489" s="6"/>
      <c r="AC489" s="3"/>
    </row>
    <row r="490" spans="1:29" ht="15.75" customHeight="1" x14ac:dyDescent="0.2">
      <c r="A490" s="2"/>
      <c r="B490" s="2"/>
      <c r="C490" s="2"/>
      <c r="D490" s="14"/>
      <c r="E490" s="6"/>
      <c r="F490" s="3"/>
      <c r="G490" s="6"/>
      <c r="H490" s="6"/>
      <c r="I490" s="3"/>
      <c r="J490" s="6"/>
      <c r="K490" s="3"/>
      <c r="L490" s="6"/>
      <c r="M490" s="6"/>
      <c r="N490" s="3"/>
      <c r="O490" s="6"/>
      <c r="P490" s="3"/>
      <c r="Q490" s="6"/>
      <c r="R490" s="6"/>
      <c r="S490" s="3"/>
      <c r="T490" s="6"/>
      <c r="U490" s="3"/>
      <c r="V490" s="6"/>
      <c r="W490" s="6"/>
      <c r="X490" s="3"/>
      <c r="Y490" s="6"/>
      <c r="Z490" s="3"/>
      <c r="AA490" s="6"/>
      <c r="AB490" s="6"/>
      <c r="AC490" s="3"/>
    </row>
    <row r="491" spans="1:29" ht="15.75" customHeight="1" x14ac:dyDescent="0.2">
      <c r="A491" s="2"/>
      <c r="B491" s="2"/>
      <c r="C491" s="2"/>
      <c r="D491" s="14"/>
      <c r="E491" s="6"/>
      <c r="F491" s="3"/>
      <c r="G491" s="6"/>
      <c r="H491" s="6"/>
      <c r="I491" s="3"/>
      <c r="J491" s="6"/>
      <c r="K491" s="3"/>
      <c r="L491" s="6"/>
      <c r="M491" s="6"/>
      <c r="N491" s="3"/>
      <c r="O491" s="6"/>
      <c r="P491" s="3"/>
      <c r="Q491" s="6"/>
      <c r="R491" s="6"/>
      <c r="S491" s="3"/>
      <c r="T491" s="6"/>
      <c r="U491" s="3"/>
      <c r="V491" s="6"/>
      <c r="W491" s="6"/>
      <c r="X491" s="3"/>
      <c r="Y491" s="6"/>
      <c r="Z491" s="3"/>
      <c r="AA491" s="6"/>
      <c r="AB491" s="6"/>
      <c r="AC491" s="3"/>
    </row>
    <row r="492" spans="1:29" ht="15.75" customHeight="1" x14ac:dyDescent="0.2">
      <c r="A492" s="2"/>
      <c r="B492" s="2"/>
      <c r="C492" s="2"/>
      <c r="D492" s="14"/>
      <c r="E492" s="6"/>
      <c r="F492" s="3"/>
      <c r="G492" s="6"/>
      <c r="H492" s="6"/>
      <c r="I492" s="3"/>
      <c r="J492" s="6"/>
      <c r="K492" s="3"/>
      <c r="L492" s="6"/>
      <c r="M492" s="6"/>
      <c r="N492" s="3"/>
      <c r="O492" s="6"/>
      <c r="P492" s="3"/>
      <c r="Q492" s="6"/>
      <c r="R492" s="6"/>
      <c r="S492" s="3"/>
      <c r="T492" s="6"/>
      <c r="U492" s="3"/>
      <c r="V492" s="6"/>
      <c r="W492" s="6"/>
      <c r="X492" s="3"/>
      <c r="Y492" s="6"/>
      <c r="Z492" s="3"/>
      <c r="AA492" s="6"/>
      <c r="AB492" s="6"/>
      <c r="AC492" s="3"/>
    </row>
    <row r="493" spans="1:29" ht="15.75" customHeight="1" x14ac:dyDescent="0.2">
      <c r="A493" s="2"/>
      <c r="B493" s="2"/>
      <c r="C493" s="2"/>
      <c r="D493" s="14"/>
      <c r="E493" s="6"/>
      <c r="F493" s="3"/>
      <c r="G493" s="6"/>
      <c r="H493" s="6"/>
      <c r="I493" s="3"/>
      <c r="J493" s="6"/>
      <c r="K493" s="3"/>
      <c r="L493" s="6"/>
      <c r="M493" s="6"/>
      <c r="N493" s="3"/>
      <c r="O493" s="6"/>
      <c r="P493" s="3"/>
      <c r="Q493" s="6"/>
      <c r="R493" s="6"/>
      <c r="S493" s="3"/>
      <c r="T493" s="6"/>
      <c r="U493" s="3"/>
      <c r="V493" s="6"/>
      <c r="W493" s="6"/>
      <c r="X493" s="3"/>
      <c r="Y493" s="6"/>
      <c r="Z493" s="3"/>
      <c r="AA493" s="6"/>
      <c r="AB493" s="6"/>
      <c r="AC493" s="3"/>
    </row>
    <row r="494" spans="1:29" ht="15.75" customHeight="1" x14ac:dyDescent="0.2">
      <c r="A494" s="2"/>
      <c r="B494" s="2"/>
      <c r="C494" s="2"/>
      <c r="D494" s="14"/>
      <c r="E494" s="6"/>
      <c r="F494" s="3"/>
      <c r="G494" s="6"/>
      <c r="H494" s="6"/>
      <c r="I494" s="3"/>
      <c r="J494" s="6"/>
      <c r="K494" s="3"/>
      <c r="L494" s="6"/>
      <c r="M494" s="6"/>
      <c r="N494" s="3"/>
      <c r="O494" s="6"/>
      <c r="P494" s="3"/>
      <c r="Q494" s="6"/>
      <c r="R494" s="6"/>
      <c r="S494" s="3"/>
      <c r="T494" s="6"/>
      <c r="U494" s="3"/>
      <c r="V494" s="6"/>
      <c r="W494" s="6"/>
      <c r="X494" s="3"/>
      <c r="Y494" s="6"/>
      <c r="Z494" s="3"/>
      <c r="AA494" s="6"/>
      <c r="AB494" s="6"/>
      <c r="AC494" s="3"/>
    </row>
    <row r="495" spans="1:29" ht="15.75" customHeight="1" x14ac:dyDescent="0.2">
      <c r="A495" s="2"/>
      <c r="B495" s="2"/>
      <c r="C495" s="2"/>
      <c r="D495" s="14"/>
      <c r="E495" s="6"/>
      <c r="F495" s="3"/>
      <c r="G495" s="6"/>
      <c r="H495" s="6"/>
      <c r="I495" s="3"/>
      <c r="J495" s="6"/>
      <c r="K495" s="3"/>
      <c r="L495" s="6"/>
      <c r="M495" s="6"/>
      <c r="N495" s="3"/>
      <c r="O495" s="6"/>
      <c r="P495" s="3"/>
      <c r="Q495" s="6"/>
      <c r="R495" s="6"/>
      <c r="S495" s="3"/>
      <c r="T495" s="6"/>
      <c r="U495" s="3"/>
      <c r="V495" s="6"/>
      <c r="W495" s="6"/>
      <c r="X495" s="3"/>
      <c r="Y495" s="6"/>
      <c r="Z495" s="3"/>
      <c r="AA495" s="6"/>
      <c r="AB495" s="6"/>
      <c r="AC495" s="3"/>
    </row>
    <row r="496" spans="1:29" ht="15.75" customHeight="1" x14ac:dyDescent="0.2">
      <c r="A496" s="2"/>
      <c r="B496" s="2"/>
      <c r="C496" s="2"/>
      <c r="D496" s="14"/>
      <c r="E496" s="6"/>
      <c r="F496" s="3"/>
      <c r="G496" s="6"/>
      <c r="H496" s="6"/>
      <c r="I496" s="3"/>
      <c r="J496" s="6"/>
      <c r="K496" s="3"/>
      <c r="L496" s="6"/>
      <c r="M496" s="6"/>
      <c r="N496" s="3"/>
      <c r="O496" s="6"/>
      <c r="P496" s="3"/>
      <c r="Q496" s="6"/>
      <c r="R496" s="6"/>
      <c r="S496" s="3"/>
      <c r="T496" s="6"/>
      <c r="U496" s="3"/>
      <c r="V496" s="6"/>
      <c r="W496" s="6"/>
      <c r="X496" s="3"/>
      <c r="Y496" s="6"/>
      <c r="Z496" s="3"/>
      <c r="AA496" s="6"/>
      <c r="AB496" s="6"/>
      <c r="AC496" s="3"/>
    </row>
    <row r="497" spans="1:29" ht="15.75" customHeight="1" x14ac:dyDescent="0.2">
      <c r="A497" s="2"/>
      <c r="B497" s="2"/>
      <c r="C497" s="2"/>
      <c r="D497" s="14"/>
      <c r="E497" s="6"/>
      <c r="F497" s="3"/>
      <c r="G497" s="6"/>
      <c r="H497" s="6"/>
      <c r="I497" s="3"/>
      <c r="J497" s="6"/>
      <c r="K497" s="3"/>
      <c r="L497" s="6"/>
      <c r="M497" s="6"/>
      <c r="N497" s="3"/>
      <c r="O497" s="6"/>
      <c r="P497" s="3"/>
      <c r="Q497" s="6"/>
      <c r="R497" s="6"/>
      <c r="S497" s="3"/>
      <c r="T497" s="6"/>
      <c r="U497" s="3"/>
      <c r="V497" s="6"/>
      <c r="W497" s="6"/>
      <c r="X497" s="3"/>
      <c r="Y497" s="6"/>
      <c r="Z497" s="3"/>
      <c r="AA497" s="6"/>
      <c r="AB497" s="6"/>
      <c r="AC497" s="3"/>
    </row>
    <row r="498" spans="1:29" ht="15.75" customHeight="1" x14ac:dyDescent="0.2">
      <c r="A498" s="2"/>
      <c r="B498" s="2"/>
      <c r="C498" s="2"/>
      <c r="D498" s="14"/>
      <c r="E498" s="6"/>
      <c r="F498" s="3"/>
      <c r="G498" s="6"/>
      <c r="H498" s="6"/>
      <c r="I498" s="3"/>
      <c r="J498" s="6"/>
      <c r="K498" s="3"/>
      <c r="L498" s="6"/>
      <c r="M498" s="6"/>
      <c r="N498" s="3"/>
      <c r="O498" s="6"/>
      <c r="P498" s="3"/>
      <c r="Q498" s="6"/>
      <c r="R498" s="6"/>
      <c r="S498" s="3"/>
      <c r="T498" s="6"/>
      <c r="U498" s="3"/>
      <c r="V498" s="6"/>
      <c r="W498" s="6"/>
      <c r="X498" s="3"/>
      <c r="Y498" s="6"/>
      <c r="Z498" s="3"/>
      <c r="AA498" s="6"/>
      <c r="AB498" s="6"/>
      <c r="AC498" s="3"/>
    </row>
    <row r="499" spans="1:29" ht="15.75" customHeight="1" x14ac:dyDescent="0.2">
      <c r="A499" s="2"/>
      <c r="B499" s="2"/>
      <c r="C499" s="2"/>
      <c r="D499" s="14"/>
      <c r="E499" s="6"/>
      <c r="F499" s="3"/>
      <c r="G499" s="6"/>
      <c r="H499" s="6"/>
      <c r="I499" s="3"/>
      <c r="J499" s="6"/>
      <c r="K499" s="3"/>
      <c r="L499" s="6"/>
      <c r="M499" s="6"/>
      <c r="N499" s="3"/>
      <c r="O499" s="6"/>
      <c r="P499" s="3"/>
      <c r="Q499" s="6"/>
      <c r="R499" s="6"/>
      <c r="S499" s="3"/>
      <c r="T499" s="6"/>
      <c r="U499" s="3"/>
      <c r="V499" s="6"/>
      <c r="W499" s="6"/>
      <c r="X499" s="3"/>
      <c r="Y499" s="6"/>
      <c r="Z499" s="3"/>
      <c r="AA499" s="6"/>
      <c r="AB499" s="6"/>
      <c r="AC499" s="3"/>
    </row>
    <row r="500" spans="1:29" ht="15.75" customHeight="1" x14ac:dyDescent="0.2">
      <c r="A500" s="2"/>
      <c r="B500" s="2"/>
      <c r="C500" s="2"/>
      <c r="D500" s="14"/>
      <c r="E500" s="6"/>
      <c r="F500" s="3"/>
      <c r="G500" s="6"/>
      <c r="H500" s="6"/>
      <c r="I500" s="3"/>
      <c r="J500" s="6"/>
      <c r="K500" s="3"/>
      <c r="L500" s="6"/>
      <c r="M500" s="6"/>
      <c r="N500" s="3"/>
      <c r="O500" s="6"/>
      <c r="P500" s="3"/>
      <c r="Q500" s="6"/>
      <c r="R500" s="6"/>
      <c r="S500" s="3"/>
      <c r="T500" s="6"/>
      <c r="U500" s="3"/>
      <c r="V500" s="6"/>
      <c r="W500" s="6"/>
      <c r="X500" s="3"/>
      <c r="Y500" s="6"/>
      <c r="Z500" s="3"/>
      <c r="AA500" s="6"/>
      <c r="AB500" s="6"/>
      <c r="AC500" s="3"/>
    </row>
    <row r="501" spans="1:29" ht="15.75" customHeight="1" x14ac:dyDescent="0.2">
      <c r="A501" s="2"/>
      <c r="B501" s="2"/>
      <c r="C501" s="2"/>
      <c r="D501" s="14"/>
      <c r="E501" s="6"/>
      <c r="F501" s="3"/>
      <c r="G501" s="6"/>
      <c r="H501" s="6"/>
      <c r="I501" s="3"/>
      <c r="J501" s="6"/>
      <c r="K501" s="3"/>
      <c r="L501" s="6"/>
      <c r="M501" s="6"/>
      <c r="N501" s="3"/>
      <c r="O501" s="6"/>
      <c r="P501" s="3"/>
      <c r="Q501" s="6"/>
      <c r="R501" s="6"/>
      <c r="S501" s="3"/>
      <c r="T501" s="6"/>
      <c r="U501" s="3"/>
      <c r="V501" s="6"/>
      <c r="W501" s="6"/>
      <c r="X501" s="3"/>
      <c r="Y501" s="6"/>
      <c r="Z501" s="3"/>
      <c r="AA501" s="6"/>
      <c r="AB501" s="6"/>
      <c r="AC501" s="3"/>
    </row>
    <row r="502" spans="1:29" ht="15.75" customHeight="1" x14ac:dyDescent="0.2">
      <c r="A502" s="2"/>
      <c r="B502" s="2"/>
      <c r="C502" s="2"/>
      <c r="D502" s="14"/>
      <c r="E502" s="6"/>
      <c r="F502" s="3"/>
      <c r="G502" s="6"/>
      <c r="H502" s="6"/>
      <c r="I502" s="3"/>
      <c r="J502" s="6"/>
      <c r="K502" s="3"/>
      <c r="L502" s="6"/>
      <c r="M502" s="6"/>
      <c r="N502" s="3"/>
      <c r="O502" s="6"/>
      <c r="P502" s="3"/>
      <c r="Q502" s="6"/>
      <c r="R502" s="6"/>
      <c r="S502" s="3"/>
      <c r="T502" s="6"/>
      <c r="U502" s="3"/>
      <c r="V502" s="6"/>
      <c r="W502" s="6"/>
      <c r="X502" s="3"/>
      <c r="Y502" s="6"/>
      <c r="Z502" s="3"/>
      <c r="AA502" s="6"/>
      <c r="AB502" s="6"/>
      <c r="AC502" s="3"/>
    </row>
    <row r="503" spans="1:29" ht="15.75" customHeight="1" x14ac:dyDescent="0.2">
      <c r="A503" s="2"/>
      <c r="B503" s="2"/>
      <c r="C503" s="2"/>
      <c r="D503" s="14"/>
      <c r="E503" s="6"/>
      <c r="F503" s="3"/>
      <c r="G503" s="6"/>
      <c r="H503" s="6"/>
      <c r="I503" s="3"/>
      <c r="J503" s="6"/>
      <c r="K503" s="3"/>
      <c r="L503" s="6"/>
      <c r="M503" s="6"/>
      <c r="N503" s="3"/>
      <c r="O503" s="6"/>
      <c r="P503" s="3"/>
      <c r="Q503" s="6"/>
      <c r="R503" s="6"/>
      <c r="S503" s="3"/>
      <c r="T503" s="6"/>
      <c r="U503" s="3"/>
      <c r="V503" s="6"/>
      <c r="W503" s="6"/>
      <c r="X503" s="3"/>
      <c r="Y503" s="6"/>
      <c r="Z503" s="3"/>
      <c r="AA503" s="6"/>
      <c r="AB503" s="6"/>
      <c r="AC503" s="3"/>
    </row>
    <row r="504" spans="1:29" ht="15.75" customHeight="1" x14ac:dyDescent="0.2">
      <c r="A504" s="2"/>
      <c r="B504" s="2"/>
      <c r="C504" s="2"/>
      <c r="D504" s="14"/>
      <c r="E504" s="6"/>
      <c r="F504" s="3"/>
      <c r="G504" s="6"/>
      <c r="H504" s="6"/>
      <c r="I504" s="3"/>
      <c r="J504" s="6"/>
      <c r="K504" s="3"/>
      <c r="L504" s="6"/>
      <c r="M504" s="6"/>
      <c r="N504" s="3"/>
      <c r="O504" s="6"/>
      <c r="P504" s="3"/>
      <c r="Q504" s="6"/>
      <c r="R504" s="6"/>
      <c r="S504" s="3"/>
      <c r="T504" s="6"/>
      <c r="U504" s="3"/>
      <c r="V504" s="6"/>
      <c r="W504" s="6"/>
      <c r="X504" s="3"/>
      <c r="Y504" s="6"/>
      <c r="Z504" s="3"/>
      <c r="AA504" s="6"/>
      <c r="AB504" s="6"/>
      <c r="AC504" s="3"/>
    </row>
    <row r="505" spans="1:29" ht="15.75" customHeight="1" x14ac:dyDescent="0.2">
      <c r="A505" s="2"/>
      <c r="B505" s="2"/>
      <c r="C505" s="2"/>
      <c r="D505" s="14"/>
      <c r="E505" s="6"/>
      <c r="F505" s="3"/>
      <c r="G505" s="6"/>
      <c r="H505" s="6"/>
      <c r="I505" s="3"/>
      <c r="J505" s="6"/>
      <c r="K505" s="3"/>
      <c r="L505" s="6"/>
      <c r="M505" s="6"/>
      <c r="N505" s="3"/>
      <c r="O505" s="6"/>
      <c r="P505" s="3"/>
      <c r="Q505" s="6"/>
      <c r="R505" s="6"/>
      <c r="S505" s="3"/>
      <c r="T505" s="6"/>
      <c r="U505" s="3"/>
      <c r="V505" s="6"/>
      <c r="W505" s="6"/>
      <c r="X505" s="3"/>
      <c r="Y505" s="6"/>
      <c r="Z505" s="3"/>
      <c r="AA505" s="6"/>
      <c r="AB505" s="6"/>
      <c r="AC505" s="3"/>
    </row>
    <row r="506" spans="1:29" ht="15.75" customHeight="1" x14ac:dyDescent="0.2">
      <c r="A506" s="2"/>
      <c r="B506" s="2"/>
      <c r="C506" s="2"/>
      <c r="D506" s="14"/>
      <c r="E506" s="6"/>
      <c r="F506" s="3"/>
      <c r="G506" s="6"/>
      <c r="H506" s="6"/>
      <c r="I506" s="3"/>
      <c r="J506" s="6"/>
      <c r="K506" s="3"/>
      <c r="L506" s="6"/>
      <c r="M506" s="6"/>
      <c r="N506" s="3"/>
      <c r="O506" s="6"/>
      <c r="P506" s="3"/>
      <c r="Q506" s="6"/>
      <c r="R506" s="6"/>
      <c r="S506" s="3"/>
      <c r="T506" s="6"/>
      <c r="U506" s="3"/>
      <c r="V506" s="6"/>
      <c r="W506" s="6"/>
      <c r="X506" s="3"/>
      <c r="Y506" s="6"/>
      <c r="Z506" s="3"/>
      <c r="AA506" s="6"/>
      <c r="AB506" s="6"/>
      <c r="AC506" s="3"/>
    </row>
    <row r="507" spans="1:29" ht="15.75" customHeight="1" x14ac:dyDescent="0.2">
      <c r="A507" s="2"/>
      <c r="B507" s="2"/>
      <c r="C507" s="2"/>
      <c r="D507" s="14"/>
      <c r="E507" s="6"/>
      <c r="F507" s="3"/>
      <c r="G507" s="6"/>
      <c r="H507" s="6"/>
      <c r="I507" s="3"/>
      <c r="J507" s="6"/>
      <c r="K507" s="3"/>
      <c r="L507" s="6"/>
      <c r="M507" s="6"/>
      <c r="N507" s="3"/>
      <c r="O507" s="6"/>
      <c r="P507" s="3"/>
      <c r="Q507" s="6"/>
      <c r="R507" s="6"/>
      <c r="S507" s="3"/>
      <c r="T507" s="6"/>
      <c r="U507" s="3"/>
      <c r="V507" s="6"/>
      <c r="W507" s="6"/>
      <c r="X507" s="3"/>
      <c r="Y507" s="6"/>
      <c r="Z507" s="3"/>
      <c r="AA507" s="6"/>
      <c r="AB507" s="6"/>
      <c r="AC507" s="3"/>
    </row>
    <row r="508" spans="1:29" ht="15.75" customHeight="1" x14ac:dyDescent="0.2">
      <c r="A508" s="2"/>
      <c r="B508" s="2"/>
      <c r="C508" s="2"/>
      <c r="D508" s="14"/>
      <c r="E508" s="6"/>
      <c r="F508" s="3"/>
      <c r="G508" s="6"/>
      <c r="H508" s="6"/>
      <c r="I508" s="3"/>
      <c r="J508" s="6"/>
      <c r="K508" s="3"/>
      <c r="L508" s="6"/>
      <c r="M508" s="6"/>
      <c r="N508" s="3"/>
      <c r="O508" s="6"/>
      <c r="P508" s="3"/>
      <c r="Q508" s="6"/>
      <c r="R508" s="6"/>
      <c r="S508" s="3"/>
      <c r="T508" s="6"/>
      <c r="U508" s="3"/>
      <c r="V508" s="6"/>
      <c r="W508" s="6"/>
      <c r="X508" s="3"/>
      <c r="Y508" s="6"/>
      <c r="Z508" s="3"/>
      <c r="AA508" s="6"/>
      <c r="AB508" s="6"/>
      <c r="AC508" s="3"/>
    </row>
    <row r="509" spans="1:29" ht="15.75" customHeight="1" x14ac:dyDescent="0.2">
      <c r="A509" s="2"/>
      <c r="B509" s="2"/>
      <c r="C509" s="2"/>
      <c r="D509" s="14"/>
      <c r="E509" s="6"/>
      <c r="F509" s="3"/>
      <c r="G509" s="6"/>
      <c r="H509" s="6"/>
      <c r="I509" s="3"/>
      <c r="J509" s="6"/>
      <c r="K509" s="3"/>
      <c r="L509" s="6"/>
      <c r="M509" s="6"/>
      <c r="N509" s="3"/>
      <c r="O509" s="6"/>
      <c r="P509" s="3"/>
      <c r="Q509" s="6"/>
      <c r="R509" s="6"/>
      <c r="S509" s="3"/>
      <c r="T509" s="6"/>
      <c r="U509" s="3"/>
      <c r="V509" s="6"/>
      <c r="W509" s="6"/>
      <c r="X509" s="3"/>
      <c r="Y509" s="6"/>
      <c r="Z509" s="3"/>
      <c r="AA509" s="6"/>
      <c r="AB509" s="6"/>
      <c r="AC509" s="3"/>
    </row>
    <row r="510" spans="1:29" ht="15.75" customHeight="1" x14ac:dyDescent="0.2">
      <c r="A510" s="2"/>
      <c r="B510" s="2"/>
      <c r="C510" s="2"/>
      <c r="D510" s="14"/>
      <c r="E510" s="6"/>
      <c r="F510" s="3"/>
      <c r="G510" s="6"/>
      <c r="H510" s="6"/>
      <c r="I510" s="3"/>
      <c r="J510" s="6"/>
      <c r="K510" s="3"/>
      <c r="L510" s="6"/>
      <c r="M510" s="6"/>
      <c r="N510" s="3"/>
      <c r="O510" s="6"/>
      <c r="P510" s="3"/>
      <c r="Q510" s="6"/>
      <c r="R510" s="6"/>
      <c r="S510" s="3"/>
      <c r="T510" s="6"/>
      <c r="U510" s="3"/>
      <c r="V510" s="6"/>
      <c r="W510" s="6"/>
      <c r="X510" s="3"/>
      <c r="Y510" s="6"/>
      <c r="Z510" s="3"/>
      <c r="AA510" s="6"/>
      <c r="AB510" s="6"/>
      <c r="AC510" s="3"/>
    </row>
    <row r="511" spans="1:29" ht="15.75" customHeight="1" x14ac:dyDescent="0.2">
      <c r="A511" s="2"/>
      <c r="B511" s="2"/>
      <c r="C511" s="2"/>
      <c r="D511" s="14"/>
      <c r="E511" s="6"/>
      <c r="F511" s="3"/>
      <c r="G511" s="6"/>
      <c r="H511" s="6"/>
      <c r="I511" s="3"/>
      <c r="J511" s="6"/>
      <c r="K511" s="3"/>
      <c r="L511" s="6"/>
      <c r="M511" s="6"/>
      <c r="N511" s="3"/>
      <c r="O511" s="6"/>
      <c r="P511" s="3"/>
      <c r="Q511" s="6"/>
      <c r="R511" s="6"/>
      <c r="S511" s="3"/>
      <c r="T511" s="6"/>
      <c r="U511" s="3"/>
      <c r="V511" s="6"/>
      <c r="W511" s="6"/>
      <c r="X511" s="3"/>
      <c r="Y511" s="6"/>
      <c r="Z511" s="3"/>
      <c r="AA511" s="6"/>
      <c r="AB511" s="6"/>
      <c r="AC511" s="3"/>
    </row>
    <row r="512" spans="1:29" ht="15.75" customHeight="1" x14ac:dyDescent="0.2">
      <c r="A512" s="2"/>
      <c r="B512" s="2"/>
      <c r="C512" s="2"/>
      <c r="D512" s="14"/>
      <c r="E512" s="6"/>
      <c r="F512" s="3"/>
      <c r="G512" s="6"/>
      <c r="H512" s="6"/>
      <c r="I512" s="3"/>
      <c r="J512" s="6"/>
      <c r="K512" s="3"/>
      <c r="L512" s="6"/>
      <c r="M512" s="6"/>
      <c r="N512" s="3"/>
      <c r="O512" s="6"/>
      <c r="P512" s="3"/>
      <c r="Q512" s="6"/>
      <c r="R512" s="6"/>
      <c r="S512" s="3"/>
      <c r="T512" s="6"/>
      <c r="U512" s="3"/>
      <c r="V512" s="6"/>
      <c r="W512" s="6"/>
      <c r="X512" s="3"/>
      <c r="Y512" s="6"/>
      <c r="Z512" s="3"/>
      <c r="AA512" s="6"/>
      <c r="AB512" s="6"/>
      <c r="AC512" s="3"/>
    </row>
    <row r="513" spans="1:29" ht="15.75" customHeight="1" x14ac:dyDescent="0.2">
      <c r="A513" s="2"/>
      <c r="B513" s="2"/>
      <c r="C513" s="2"/>
      <c r="D513" s="14"/>
      <c r="E513" s="6"/>
      <c r="F513" s="3"/>
      <c r="G513" s="6"/>
      <c r="H513" s="6"/>
      <c r="I513" s="3"/>
      <c r="J513" s="6"/>
      <c r="K513" s="3"/>
      <c r="L513" s="6"/>
      <c r="M513" s="6"/>
      <c r="N513" s="3"/>
      <c r="O513" s="6"/>
      <c r="P513" s="3"/>
      <c r="Q513" s="6"/>
      <c r="R513" s="6"/>
      <c r="S513" s="3"/>
      <c r="T513" s="6"/>
      <c r="U513" s="3"/>
      <c r="V513" s="6"/>
      <c r="W513" s="6"/>
      <c r="X513" s="3"/>
      <c r="Y513" s="6"/>
      <c r="Z513" s="3"/>
      <c r="AA513" s="6"/>
      <c r="AB513" s="6"/>
      <c r="AC513" s="3"/>
    </row>
    <row r="514" spans="1:29" ht="15.75" customHeight="1" x14ac:dyDescent="0.2">
      <c r="A514" s="2"/>
      <c r="B514" s="2"/>
      <c r="C514" s="2"/>
      <c r="D514" s="14"/>
      <c r="E514" s="6"/>
      <c r="F514" s="3"/>
      <c r="G514" s="6"/>
      <c r="H514" s="6"/>
      <c r="I514" s="3"/>
      <c r="J514" s="6"/>
      <c r="K514" s="3"/>
      <c r="L514" s="6"/>
      <c r="M514" s="6"/>
      <c r="N514" s="3"/>
      <c r="O514" s="6"/>
      <c r="P514" s="3"/>
      <c r="Q514" s="6"/>
      <c r="R514" s="6"/>
      <c r="S514" s="3"/>
      <c r="T514" s="6"/>
      <c r="U514" s="3"/>
      <c r="V514" s="6"/>
      <c r="W514" s="6"/>
      <c r="X514" s="3"/>
      <c r="Y514" s="6"/>
      <c r="Z514" s="3"/>
      <c r="AA514" s="6"/>
      <c r="AB514" s="6"/>
      <c r="AC514" s="3"/>
    </row>
    <row r="515" spans="1:29" ht="15.75" customHeight="1" x14ac:dyDescent="0.2">
      <c r="A515" s="2"/>
      <c r="B515" s="2"/>
      <c r="C515" s="2"/>
      <c r="D515" s="14"/>
      <c r="E515" s="6"/>
      <c r="F515" s="3"/>
      <c r="G515" s="6"/>
      <c r="H515" s="6"/>
      <c r="I515" s="3"/>
      <c r="J515" s="6"/>
      <c r="K515" s="3"/>
      <c r="L515" s="6"/>
      <c r="M515" s="6"/>
      <c r="N515" s="3"/>
      <c r="O515" s="6"/>
      <c r="P515" s="3"/>
      <c r="Q515" s="6"/>
      <c r="R515" s="6"/>
      <c r="S515" s="3"/>
      <c r="T515" s="6"/>
      <c r="U515" s="3"/>
      <c r="V515" s="6"/>
      <c r="W515" s="6"/>
      <c r="X515" s="3"/>
      <c r="Y515" s="6"/>
      <c r="Z515" s="3"/>
      <c r="AA515" s="6"/>
      <c r="AB515" s="6"/>
      <c r="AC515" s="3"/>
    </row>
    <row r="516" spans="1:29" ht="15.75" customHeight="1" x14ac:dyDescent="0.2">
      <c r="A516" s="2"/>
      <c r="B516" s="2"/>
      <c r="C516" s="2"/>
      <c r="D516" s="14"/>
      <c r="E516" s="6"/>
      <c r="F516" s="3"/>
      <c r="G516" s="6"/>
      <c r="H516" s="6"/>
      <c r="I516" s="3"/>
      <c r="J516" s="6"/>
      <c r="K516" s="3"/>
      <c r="L516" s="6"/>
      <c r="M516" s="6"/>
      <c r="N516" s="3"/>
      <c r="O516" s="6"/>
      <c r="P516" s="3"/>
      <c r="Q516" s="6"/>
      <c r="R516" s="6"/>
      <c r="S516" s="3"/>
      <c r="T516" s="6"/>
      <c r="U516" s="3"/>
      <c r="V516" s="6"/>
      <c r="W516" s="6"/>
      <c r="X516" s="3"/>
      <c r="Y516" s="6"/>
      <c r="Z516" s="3"/>
      <c r="AA516" s="6"/>
      <c r="AB516" s="6"/>
      <c r="AC516" s="3"/>
    </row>
    <row r="517" spans="1:29" ht="15.75" customHeight="1" x14ac:dyDescent="0.2">
      <c r="A517" s="2"/>
      <c r="B517" s="2"/>
      <c r="C517" s="2"/>
      <c r="D517" s="14"/>
      <c r="E517" s="6"/>
      <c r="F517" s="3"/>
      <c r="G517" s="6"/>
      <c r="H517" s="6"/>
      <c r="I517" s="3"/>
      <c r="J517" s="6"/>
      <c r="K517" s="3"/>
      <c r="L517" s="6"/>
      <c r="M517" s="6"/>
      <c r="N517" s="3"/>
      <c r="O517" s="6"/>
      <c r="P517" s="3"/>
      <c r="Q517" s="6"/>
      <c r="R517" s="6"/>
      <c r="S517" s="3"/>
      <c r="T517" s="6"/>
      <c r="U517" s="3"/>
      <c r="V517" s="6"/>
      <c r="W517" s="6"/>
      <c r="X517" s="3"/>
      <c r="Y517" s="6"/>
      <c r="Z517" s="3"/>
      <c r="AA517" s="6"/>
      <c r="AB517" s="6"/>
      <c r="AC517" s="3"/>
    </row>
    <row r="518" spans="1:29" ht="15.75" customHeight="1" x14ac:dyDescent="0.2">
      <c r="A518" s="2"/>
      <c r="B518" s="2"/>
      <c r="C518" s="2"/>
      <c r="D518" s="14"/>
      <c r="E518" s="6"/>
      <c r="F518" s="3"/>
      <c r="G518" s="6"/>
      <c r="H518" s="6"/>
      <c r="I518" s="3"/>
      <c r="J518" s="6"/>
      <c r="K518" s="3"/>
      <c r="L518" s="6"/>
      <c r="M518" s="6"/>
      <c r="N518" s="3"/>
      <c r="O518" s="6"/>
      <c r="P518" s="3"/>
      <c r="Q518" s="6"/>
      <c r="R518" s="6"/>
      <c r="S518" s="3"/>
      <c r="T518" s="6"/>
      <c r="U518" s="3"/>
      <c r="V518" s="6"/>
      <c r="W518" s="6"/>
      <c r="X518" s="3"/>
      <c r="Y518" s="6"/>
      <c r="Z518" s="3"/>
      <c r="AA518" s="6"/>
      <c r="AB518" s="6"/>
      <c r="AC518" s="3"/>
    </row>
    <row r="519" spans="1:29" ht="15.75" customHeight="1" x14ac:dyDescent="0.2">
      <c r="A519" s="2"/>
      <c r="B519" s="2"/>
      <c r="C519" s="2"/>
      <c r="D519" s="14"/>
      <c r="E519" s="6"/>
      <c r="F519" s="3"/>
      <c r="G519" s="6"/>
      <c r="H519" s="6"/>
      <c r="I519" s="3"/>
      <c r="J519" s="6"/>
      <c r="K519" s="3"/>
      <c r="L519" s="6"/>
      <c r="M519" s="6"/>
      <c r="N519" s="3"/>
      <c r="O519" s="6"/>
      <c r="P519" s="3"/>
      <c r="Q519" s="6"/>
      <c r="R519" s="6"/>
      <c r="S519" s="3"/>
      <c r="T519" s="6"/>
      <c r="U519" s="3"/>
      <c r="V519" s="6"/>
      <c r="W519" s="6"/>
      <c r="X519" s="3"/>
      <c r="Y519" s="6"/>
      <c r="Z519" s="3"/>
      <c r="AA519" s="6"/>
      <c r="AB519" s="6"/>
      <c r="AC519" s="3"/>
    </row>
    <row r="520" spans="1:29" ht="15.75" customHeight="1" x14ac:dyDescent="0.2">
      <c r="A520" s="2"/>
      <c r="B520" s="2"/>
      <c r="C520" s="2"/>
      <c r="D520" s="14"/>
      <c r="E520" s="6"/>
      <c r="F520" s="3"/>
      <c r="G520" s="6"/>
      <c r="H520" s="6"/>
      <c r="I520" s="3"/>
      <c r="J520" s="6"/>
      <c r="K520" s="3"/>
      <c r="L520" s="6"/>
      <c r="M520" s="6"/>
      <c r="N520" s="3"/>
      <c r="O520" s="6"/>
      <c r="P520" s="3"/>
      <c r="Q520" s="6"/>
      <c r="R520" s="6"/>
      <c r="S520" s="3"/>
      <c r="T520" s="6"/>
      <c r="U520" s="3"/>
      <c r="V520" s="6"/>
      <c r="W520" s="6"/>
      <c r="X520" s="3"/>
      <c r="Y520" s="6"/>
      <c r="Z520" s="3"/>
      <c r="AA520" s="6"/>
      <c r="AB520" s="6"/>
      <c r="AC520" s="3"/>
    </row>
    <row r="521" spans="1:29" ht="15.75" customHeight="1" x14ac:dyDescent="0.2">
      <c r="A521" s="2"/>
      <c r="B521" s="2"/>
      <c r="C521" s="2"/>
      <c r="D521" s="14"/>
      <c r="E521" s="6"/>
      <c r="F521" s="3"/>
      <c r="G521" s="6"/>
      <c r="H521" s="6"/>
      <c r="I521" s="3"/>
      <c r="J521" s="6"/>
      <c r="K521" s="3"/>
      <c r="L521" s="6"/>
      <c r="M521" s="6"/>
      <c r="N521" s="3"/>
      <c r="O521" s="6"/>
      <c r="P521" s="3"/>
      <c r="Q521" s="6"/>
      <c r="R521" s="6"/>
      <c r="S521" s="3"/>
      <c r="T521" s="6"/>
      <c r="U521" s="3"/>
      <c r="V521" s="6"/>
      <c r="W521" s="6"/>
      <c r="X521" s="3"/>
      <c r="Y521" s="6"/>
      <c r="Z521" s="3"/>
      <c r="AA521" s="6"/>
      <c r="AB521" s="6"/>
      <c r="AC521" s="3"/>
    </row>
    <row r="522" spans="1:29" ht="15.75" customHeight="1" x14ac:dyDescent="0.2">
      <c r="A522" s="2"/>
      <c r="B522" s="2"/>
      <c r="C522" s="2"/>
      <c r="D522" s="14"/>
      <c r="E522" s="6"/>
      <c r="F522" s="3"/>
      <c r="G522" s="6"/>
      <c r="H522" s="6"/>
      <c r="I522" s="3"/>
      <c r="J522" s="6"/>
      <c r="K522" s="3"/>
      <c r="L522" s="6"/>
      <c r="M522" s="6"/>
      <c r="N522" s="3"/>
      <c r="O522" s="6"/>
      <c r="P522" s="3"/>
      <c r="Q522" s="6"/>
      <c r="R522" s="6"/>
      <c r="S522" s="3"/>
      <c r="T522" s="6"/>
      <c r="U522" s="3"/>
      <c r="V522" s="6"/>
      <c r="W522" s="6"/>
      <c r="X522" s="3"/>
      <c r="Y522" s="6"/>
      <c r="Z522" s="3"/>
      <c r="AA522" s="6"/>
      <c r="AB522" s="6"/>
      <c r="AC522" s="3"/>
    </row>
    <row r="523" spans="1:29" ht="15.75" customHeight="1" x14ac:dyDescent="0.2">
      <c r="A523" s="2"/>
      <c r="B523" s="2"/>
      <c r="C523" s="2"/>
      <c r="D523" s="14"/>
      <c r="E523" s="6"/>
      <c r="F523" s="3"/>
      <c r="G523" s="6"/>
      <c r="H523" s="6"/>
      <c r="I523" s="3"/>
      <c r="J523" s="6"/>
      <c r="K523" s="3"/>
      <c r="L523" s="6"/>
      <c r="M523" s="6"/>
      <c r="N523" s="3"/>
      <c r="O523" s="6"/>
      <c r="P523" s="3"/>
      <c r="Q523" s="6"/>
      <c r="R523" s="6"/>
      <c r="S523" s="3"/>
      <c r="T523" s="6"/>
      <c r="U523" s="3"/>
      <c r="V523" s="6"/>
      <c r="W523" s="6"/>
      <c r="X523" s="3"/>
      <c r="Y523" s="6"/>
      <c r="Z523" s="3"/>
      <c r="AA523" s="6"/>
      <c r="AB523" s="6"/>
      <c r="AC523" s="3"/>
    </row>
    <row r="524" spans="1:29" ht="15.75" customHeight="1" x14ac:dyDescent="0.2">
      <c r="A524" s="2"/>
      <c r="B524" s="2"/>
      <c r="C524" s="2"/>
      <c r="D524" s="14"/>
      <c r="E524" s="6"/>
      <c r="F524" s="3"/>
      <c r="G524" s="6"/>
      <c r="H524" s="6"/>
      <c r="I524" s="3"/>
      <c r="J524" s="6"/>
      <c r="K524" s="3"/>
      <c r="L524" s="6"/>
      <c r="M524" s="6"/>
      <c r="N524" s="3"/>
      <c r="O524" s="6"/>
      <c r="P524" s="3"/>
      <c r="Q524" s="6"/>
      <c r="R524" s="6"/>
      <c r="S524" s="3"/>
      <c r="T524" s="6"/>
      <c r="U524" s="3"/>
      <c r="V524" s="6"/>
      <c r="W524" s="6"/>
      <c r="X524" s="3"/>
      <c r="Y524" s="6"/>
      <c r="Z524" s="3"/>
      <c r="AA524" s="6"/>
      <c r="AB524" s="6"/>
      <c r="AC524" s="3"/>
    </row>
    <row r="525" spans="1:29" ht="15.75" customHeight="1" x14ac:dyDescent="0.2">
      <c r="A525" s="2"/>
      <c r="B525" s="2"/>
      <c r="C525" s="2"/>
      <c r="D525" s="14"/>
      <c r="E525" s="6"/>
      <c r="F525" s="3"/>
      <c r="G525" s="6"/>
      <c r="H525" s="6"/>
      <c r="I525" s="3"/>
      <c r="J525" s="6"/>
      <c r="K525" s="3"/>
      <c r="L525" s="6"/>
      <c r="M525" s="6"/>
      <c r="N525" s="3"/>
      <c r="O525" s="6"/>
      <c r="P525" s="3"/>
      <c r="Q525" s="6"/>
      <c r="R525" s="6"/>
      <c r="S525" s="3"/>
      <c r="T525" s="6"/>
      <c r="U525" s="3"/>
      <c r="V525" s="6"/>
      <c r="W525" s="6"/>
      <c r="X525" s="3"/>
      <c r="Y525" s="6"/>
      <c r="Z525" s="3"/>
      <c r="AA525" s="6"/>
      <c r="AB525" s="6"/>
      <c r="AC525" s="3"/>
    </row>
    <row r="526" spans="1:29" ht="15.75" customHeight="1" x14ac:dyDescent="0.2">
      <c r="A526" s="2"/>
      <c r="B526" s="2"/>
      <c r="C526" s="2"/>
      <c r="D526" s="14"/>
      <c r="E526" s="6"/>
      <c r="F526" s="3"/>
      <c r="G526" s="6"/>
      <c r="H526" s="6"/>
      <c r="I526" s="3"/>
      <c r="J526" s="6"/>
      <c r="K526" s="3"/>
      <c r="L526" s="6"/>
      <c r="M526" s="6"/>
      <c r="N526" s="3"/>
      <c r="O526" s="6"/>
      <c r="P526" s="3"/>
      <c r="Q526" s="6"/>
      <c r="R526" s="6"/>
      <c r="S526" s="3"/>
      <c r="T526" s="6"/>
      <c r="U526" s="3"/>
      <c r="V526" s="6"/>
      <c r="W526" s="6"/>
      <c r="X526" s="3"/>
      <c r="Y526" s="6"/>
      <c r="Z526" s="3"/>
      <c r="AA526" s="6"/>
      <c r="AB526" s="6"/>
      <c r="AC526" s="3"/>
    </row>
    <row r="527" spans="1:29" ht="15.75" customHeight="1" x14ac:dyDescent="0.2">
      <c r="A527" s="2"/>
      <c r="B527" s="2"/>
      <c r="C527" s="2"/>
      <c r="D527" s="14"/>
      <c r="E527" s="6"/>
      <c r="F527" s="3"/>
      <c r="G527" s="6"/>
      <c r="H527" s="6"/>
      <c r="I527" s="3"/>
      <c r="J527" s="6"/>
      <c r="K527" s="3"/>
      <c r="L527" s="6"/>
      <c r="M527" s="6"/>
      <c r="N527" s="3"/>
      <c r="O527" s="6"/>
      <c r="P527" s="3"/>
      <c r="Q527" s="6"/>
      <c r="R527" s="6"/>
      <c r="S527" s="3"/>
      <c r="T527" s="6"/>
      <c r="U527" s="3"/>
      <c r="V527" s="6"/>
      <c r="W527" s="6"/>
      <c r="X527" s="3"/>
      <c r="Y527" s="6"/>
      <c r="Z527" s="3"/>
      <c r="AA527" s="6"/>
      <c r="AB527" s="6"/>
      <c r="AC527" s="3"/>
    </row>
    <row r="528" spans="1:29" ht="15.75" customHeight="1" x14ac:dyDescent="0.2">
      <c r="A528" s="2"/>
      <c r="B528" s="2"/>
      <c r="C528" s="2"/>
      <c r="D528" s="14"/>
      <c r="E528" s="6"/>
      <c r="F528" s="3"/>
      <c r="G528" s="6"/>
      <c r="H528" s="6"/>
      <c r="I528" s="3"/>
      <c r="J528" s="6"/>
      <c r="K528" s="3"/>
      <c r="L528" s="6"/>
      <c r="M528" s="6"/>
      <c r="N528" s="3"/>
      <c r="O528" s="6"/>
      <c r="P528" s="3"/>
      <c r="Q528" s="6"/>
      <c r="R528" s="6"/>
      <c r="S528" s="3"/>
      <c r="T528" s="6"/>
      <c r="U528" s="3"/>
      <c r="V528" s="6"/>
      <c r="W528" s="6"/>
      <c r="X528" s="3"/>
      <c r="Y528" s="6"/>
      <c r="Z528" s="3"/>
      <c r="AA528" s="6"/>
      <c r="AB528" s="6"/>
      <c r="AC528" s="3"/>
    </row>
    <row r="529" spans="1:29" ht="15.75" customHeight="1" x14ac:dyDescent="0.2">
      <c r="A529" s="2"/>
      <c r="B529" s="2"/>
      <c r="C529" s="2"/>
      <c r="D529" s="14"/>
      <c r="E529" s="6"/>
      <c r="F529" s="3"/>
      <c r="G529" s="6"/>
      <c r="H529" s="6"/>
      <c r="I529" s="3"/>
      <c r="J529" s="6"/>
      <c r="K529" s="3"/>
      <c r="L529" s="6"/>
      <c r="M529" s="6"/>
      <c r="N529" s="3"/>
      <c r="O529" s="6"/>
      <c r="P529" s="3"/>
      <c r="Q529" s="6"/>
      <c r="R529" s="6"/>
      <c r="S529" s="3"/>
      <c r="T529" s="6"/>
      <c r="U529" s="3"/>
      <c r="V529" s="6"/>
      <c r="W529" s="6"/>
      <c r="X529" s="3"/>
      <c r="Y529" s="6"/>
      <c r="Z529" s="3"/>
      <c r="AA529" s="6"/>
      <c r="AB529" s="6"/>
      <c r="AC529" s="3"/>
    </row>
    <row r="530" spans="1:29" ht="15.75" customHeight="1" x14ac:dyDescent="0.2">
      <c r="A530" s="2"/>
      <c r="B530" s="2"/>
      <c r="C530" s="2"/>
      <c r="D530" s="14"/>
      <c r="E530" s="6"/>
      <c r="F530" s="3"/>
      <c r="G530" s="6"/>
      <c r="H530" s="6"/>
      <c r="I530" s="3"/>
      <c r="J530" s="6"/>
      <c r="K530" s="3"/>
      <c r="L530" s="6"/>
      <c r="M530" s="6"/>
      <c r="N530" s="3"/>
      <c r="O530" s="6"/>
      <c r="P530" s="3"/>
      <c r="Q530" s="6"/>
      <c r="R530" s="6"/>
      <c r="S530" s="3"/>
      <c r="T530" s="6"/>
      <c r="U530" s="3"/>
      <c r="V530" s="6"/>
      <c r="W530" s="6"/>
      <c r="X530" s="3"/>
      <c r="Y530" s="6"/>
      <c r="Z530" s="3"/>
      <c r="AA530" s="6"/>
      <c r="AB530" s="6"/>
      <c r="AC530" s="3"/>
    </row>
    <row r="531" spans="1:29" ht="15.75" customHeight="1" x14ac:dyDescent="0.2">
      <c r="A531" s="2"/>
      <c r="B531" s="2"/>
      <c r="C531" s="2"/>
      <c r="D531" s="14"/>
      <c r="E531" s="6"/>
      <c r="F531" s="3"/>
      <c r="G531" s="6"/>
      <c r="H531" s="6"/>
      <c r="I531" s="3"/>
      <c r="J531" s="6"/>
      <c r="K531" s="3"/>
      <c r="L531" s="6"/>
      <c r="M531" s="6"/>
      <c r="N531" s="3"/>
      <c r="O531" s="6"/>
      <c r="P531" s="3"/>
      <c r="Q531" s="6"/>
      <c r="R531" s="6"/>
      <c r="S531" s="3"/>
      <c r="T531" s="6"/>
      <c r="U531" s="3"/>
      <c r="V531" s="6"/>
      <c r="W531" s="6"/>
      <c r="X531" s="3"/>
      <c r="Y531" s="6"/>
      <c r="Z531" s="3"/>
      <c r="AA531" s="6"/>
      <c r="AB531" s="6"/>
      <c r="AC531" s="3"/>
    </row>
    <row r="532" spans="1:29" ht="15.75" customHeight="1" x14ac:dyDescent="0.2">
      <c r="A532" s="2"/>
      <c r="B532" s="2"/>
      <c r="C532" s="2"/>
      <c r="D532" s="14"/>
      <c r="E532" s="6"/>
      <c r="F532" s="3"/>
      <c r="G532" s="6"/>
      <c r="H532" s="6"/>
      <c r="I532" s="3"/>
      <c r="J532" s="6"/>
      <c r="K532" s="3"/>
      <c r="L532" s="6"/>
      <c r="M532" s="6"/>
      <c r="N532" s="3"/>
      <c r="O532" s="6"/>
      <c r="P532" s="3"/>
      <c r="Q532" s="6"/>
      <c r="R532" s="6"/>
      <c r="S532" s="3"/>
      <c r="T532" s="6"/>
      <c r="U532" s="3"/>
      <c r="V532" s="6"/>
      <c r="W532" s="6"/>
      <c r="X532" s="3"/>
      <c r="Y532" s="6"/>
      <c r="Z532" s="3"/>
      <c r="AA532" s="6"/>
      <c r="AB532" s="6"/>
      <c r="AC532" s="3"/>
    </row>
    <row r="533" spans="1:29" ht="15.75" customHeight="1" x14ac:dyDescent="0.2">
      <c r="A533" s="2"/>
      <c r="B533" s="2"/>
      <c r="C533" s="2"/>
      <c r="D533" s="14"/>
      <c r="E533" s="6"/>
      <c r="F533" s="3"/>
      <c r="G533" s="6"/>
      <c r="H533" s="6"/>
      <c r="I533" s="3"/>
      <c r="J533" s="6"/>
      <c r="K533" s="3"/>
      <c r="L533" s="6"/>
      <c r="M533" s="6"/>
      <c r="N533" s="3"/>
      <c r="O533" s="6"/>
      <c r="P533" s="3"/>
      <c r="Q533" s="6"/>
      <c r="R533" s="6"/>
      <c r="S533" s="3"/>
      <c r="T533" s="6"/>
      <c r="U533" s="3"/>
      <c r="V533" s="6"/>
      <c r="W533" s="6"/>
      <c r="X533" s="3"/>
      <c r="Y533" s="6"/>
      <c r="Z533" s="3"/>
      <c r="AA533" s="6"/>
      <c r="AB533" s="6"/>
      <c r="AC533" s="3"/>
    </row>
    <row r="534" spans="1:29" ht="15.75" customHeight="1" x14ac:dyDescent="0.2">
      <c r="A534" s="2"/>
      <c r="B534" s="2"/>
      <c r="C534" s="2"/>
      <c r="D534" s="14"/>
      <c r="E534" s="6"/>
      <c r="F534" s="3"/>
      <c r="G534" s="6"/>
      <c r="H534" s="6"/>
      <c r="I534" s="3"/>
      <c r="J534" s="6"/>
      <c r="K534" s="3"/>
      <c r="L534" s="6"/>
      <c r="M534" s="6"/>
      <c r="N534" s="3"/>
      <c r="O534" s="6"/>
      <c r="P534" s="3"/>
      <c r="Q534" s="6"/>
      <c r="R534" s="6"/>
      <c r="S534" s="3"/>
      <c r="T534" s="6"/>
      <c r="U534" s="3"/>
      <c r="V534" s="6"/>
      <c r="W534" s="6"/>
      <c r="X534" s="3"/>
      <c r="Y534" s="6"/>
      <c r="Z534" s="3"/>
      <c r="AA534" s="6"/>
      <c r="AB534" s="6"/>
      <c r="AC534" s="3"/>
    </row>
    <row r="535" spans="1:29" ht="15.75" customHeight="1" x14ac:dyDescent="0.2">
      <c r="A535" s="2"/>
      <c r="B535" s="2"/>
      <c r="C535" s="2"/>
      <c r="D535" s="14"/>
      <c r="E535" s="6"/>
      <c r="F535" s="3"/>
      <c r="G535" s="6"/>
      <c r="H535" s="6"/>
      <c r="I535" s="3"/>
      <c r="J535" s="6"/>
      <c r="K535" s="3"/>
      <c r="L535" s="6"/>
      <c r="M535" s="6"/>
      <c r="N535" s="3"/>
      <c r="O535" s="6"/>
      <c r="P535" s="3"/>
      <c r="Q535" s="6"/>
      <c r="R535" s="6"/>
      <c r="S535" s="3"/>
      <c r="T535" s="6"/>
      <c r="U535" s="3"/>
      <c r="V535" s="6"/>
      <c r="W535" s="6"/>
      <c r="X535" s="3"/>
      <c r="Y535" s="6"/>
      <c r="Z535" s="3"/>
      <c r="AA535" s="6"/>
      <c r="AB535" s="6"/>
      <c r="AC535" s="3"/>
    </row>
    <row r="536" spans="1:29" ht="15.75" customHeight="1" x14ac:dyDescent="0.2">
      <c r="A536" s="2"/>
      <c r="B536" s="2"/>
      <c r="C536" s="2"/>
      <c r="D536" s="14"/>
      <c r="E536" s="6"/>
      <c r="F536" s="3"/>
      <c r="G536" s="6"/>
      <c r="H536" s="6"/>
      <c r="I536" s="3"/>
      <c r="J536" s="6"/>
      <c r="K536" s="3"/>
      <c r="L536" s="6"/>
      <c r="M536" s="6"/>
      <c r="N536" s="3"/>
      <c r="O536" s="6"/>
      <c r="P536" s="3"/>
      <c r="Q536" s="6"/>
      <c r="R536" s="6"/>
      <c r="S536" s="3"/>
      <c r="T536" s="6"/>
      <c r="U536" s="3"/>
      <c r="V536" s="6"/>
      <c r="W536" s="6"/>
      <c r="X536" s="3"/>
      <c r="Y536" s="6"/>
      <c r="Z536" s="3"/>
      <c r="AA536" s="6"/>
      <c r="AB536" s="6"/>
      <c r="AC536" s="3"/>
    </row>
    <row r="537" spans="1:29" ht="15.75" customHeight="1" x14ac:dyDescent="0.2">
      <c r="A537" s="2"/>
      <c r="B537" s="2"/>
      <c r="C537" s="2"/>
      <c r="D537" s="14"/>
      <c r="E537" s="6"/>
      <c r="F537" s="3"/>
      <c r="G537" s="6"/>
      <c r="H537" s="6"/>
      <c r="I537" s="3"/>
      <c r="J537" s="6"/>
      <c r="K537" s="3"/>
      <c r="L537" s="6"/>
      <c r="M537" s="6"/>
      <c r="N537" s="3"/>
      <c r="O537" s="6"/>
      <c r="P537" s="3"/>
      <c r="Q537" s="6"/>
      <c r="R537" s="6"/>
      <c r="S537" s="3"/>
      <c r="T537" s="6"/>
      <c r="U537" s="3"/>
      <c r="V537" s="6"/>
      <c r="W537" s="6"/>
      <c r="X537" s="3"/>
      <c r="Y537" s="6"/>
      <c r="Z537" s="3"/>
      <c r="AA537" s="6"/>
      <c r="AB537" s="6"/>
      <c r="AC537" s="3"/>
    </row>
    <row r="538" spans="1:29" ht="15.75" customHeight="1" x14ac:dyDescent="0.2">
      <c r="A538" s="2"/>
      <c r="B538" s="2"/>
      <c r="C538" s="2"/>
      <c r="D538" s="14"/>
      <c r="E538" s="6"/>
      <c r="F538" s="3"/>
      <c r="G538" s="6"/>
      <c r="H538" s="6"/>
      <c r="I538" s="3"/>
      <c r="J538" s="6"/>
      <c r="K538" s="3"/>
      <c r="L538" s="6"/>
      <c r="M538" s="6"/>
      <c r="N538" s="3"/>
      <c r="O538" s="6"/>
      <c r="P538" s="3"/>
      <c r="Q538" s="6"/>
      <c r="R538" s="6"/>
      <c r="S538" s="3"/>
      <c r="T538" s="6"/>
      <c r="U538" s="3"/>
      <c r="V538" s="6"/>
      <c r="W538" s="6"/>
      <c r="X538" s="3"/>
      <c r="Y538" s="6"/>
      <c r="Z538" s="3"/>
      <c r="AA538" s="6"/>
      <c r="AB538" s="6"/>
      <c r="AC538" s="3"/>
    </row>
    <row r="539" spans="1:29" ht="15.75" customHeight="1" x14ac:dyDescent="0.2">
      <c r="A539" s="2"/>
      <c r="B539" s="2"/>
      <c r="C539" s="2"/>
      <c r="D539" s="14"/>
      <c r="E539" s="6"/>
      <c r="F539" s="3"/>
      <c r="G539" s="6"/>
      <c r="H539" s="6"/>
      <c r="I539" s="3"/>
      <c r="J539" s="6"/>
      <c r="K539" s="3"/>
      <c r="L539" s="6"/>
      <c r="M539" s="6"/>
      <c r="N539" s="3"/>
      <c r="O539" s="6"/>
      <c r="P539" s="3"/>
      <c r="Q539" s="6"/>
      <c r="R539" s="6"/>
      <c r="S539" s="3"/>
      <c r="T539" s="6"/>
      <c r="U539" s="3"/>
      <c r="V539" s="6"/>
      <c r="W539" s="6"/>
      <c r="X539" s="3"/>
      <c r="Y539" s="6"/>
      <c r="Z539" s="3"/>
      <c r="AA539" s="6"/>
      <c r="AB539" s="6"/>
      <c r="AC539" s="3"/>
    </row>
    <row r="540" spans="1:29" ht="15.75" customHeight="1" x14ac:dyDescent="0.2">
      <c r="A540" s="2"/>
      <c r="B540" s="2"/>
      <c r="C540" s="2"/>
      <c r="D540" s="14"/>
      <c r="E540" s="6"/>
      <c r="F540" s="3"/>
      <c r="G540" s="6"/>
      <c r="H540" s="6"/>
      <c r="I540" s="3"/>
      <c r="J540" s="6"/>
      <c r="K540" s="3"/>
      <c r="L540" s="6"/>
      <c r="M540" s="6"/>
      <c r="N540" s="3"/>
      <c r="O540" s="6"/>
      <c r="P540" s="3"/>
      <c r="Q540" s="6"/>
      <c r="R540" s="6"/>
      <c r="S540" s="3"/>
      <c r="T540" s="6"/>
      <c r="U540" s="3"/>
      <c r="V540" s="6"/>
      <c r="W540" s="6"/>
      <c r="X540" s="3"/>
      <c r="Y540" s="6"/>
      <c r="Z540" s="3"/>
      <c r="AA540" s="6"/>
      <c r="AB540" s="6"/>
      <c r="AC540" s="3"/>
    </row>
    <row r="541" spans="1:29" ht="15.75" customHeight="1" x14ac:dyDescent="0.2">
      <c r="A541" s="2"/>
      <c r="B541" s="2"/>
      <c r="C541" s="2"/>
      <c r="D541" s="14"/>
      <c r="E541" s="6"/>
      <c r="F541" s="3"/>
      <c r="G541" s="6"/>
      <c r="H541" s="6"/>
      <c r="I541" s="3"/>
      <c r="J541" s="6"/>
      <c r="K541" s="3"/>
      <c r="L541" s="6"/>
      <c r="M541" s="6"/>
      <c r="N541" s="3"/>
      <c r="O541" s="6"/>
      <c r="P541" s="3"/>
      <c r="Q541" s="6"/>
      <c r="R541" s="6"/>
      <c r="S541" s="3"/>
      <c r="T541" s="6"/>
      <c r="U541" s="3"/>
      <c r="V541" s="6"/>
      <c r="W541" s="6"/>
      <c r="X541" s="3"/>
      <c r="Y541" s="6"/>
      <c r="Z541" s="3"/>
      <c r="AA541" s="6"/>
      <c r="AB541" s="6"/>
      <c r="AC541" s="3"/>
    </row>
    <row r="542" spans="1:29" ht="15.75" customHeight="1" x14ac:dyDescent="0.2">
      <c r="A542" s="2"/>
      <c r="B542" s="2"/>
      <c r="C542" s="2"/>
      <c r="D542" s="14"/>
      <c r="E542" s="6"/>
      <c r="F542" s="3"/>
      <c r="G542" s="6"/>
      <c r="H542" s="6"/>
      <c r="I542" s="3"/>
      <c r="J542" s="6"/>
      <c r="K542" s="3"/>
      <c r="L542" s="6"/>
      <c r="M542" s="6"/>
      <c r="N542" s="3"/>
      <c r="O542" s="6"/>
      <c r="P542" s="3"/>
      <c r="Q542" s="6"/>
      <c r="R542" s="6"/>
      <c r="S542" s="3"/>
      <c r="T542" s="6"/>
      <c r="U542" s="3"/>
      <c r="V542" s="6"/>
      <c r="W542" s="6"/>
      <c r="X542" s="3"/>
      <c r="Y542" s="6"/>
      <c r="Z542" s="3"/>
      <c r="AA542" s="6"/>
      <c r="AB542" s="6"/>
      <c r="AC542" s="3"/>
    </row>
    <row r="543" spans="1:29" ht="15.75" customHeight="1" x14ac:dyDescent="0.2">
      <c r="A543" s="2"/>
      <c r="B543" s="2"/>
      <c r="C543" s="2"/>
      <c r="D543" s="14"/>
      <c r="E543" s="6"/>
      <c r="F543" s="3"/>
      <c r="G543" s="6"/>
      <c r="H543" s="6"/>
      <c r="I543" s="3"/>
      <c r="J543" s="6"/>
      <c r="K543" s="3"/>
      <c r="L543" s="6"/>
      <c r="M543" s="6"/>
      <c r="N543" s="3"/>
      <c r="O543" s="6"/>
      <c r="P543" s="3"/>
      <c r="Q543" s="6"/>
      <c r="R543" s="6"/>
      <c r="S543" s="3"/>
      <c r="T543" s="6"/>
      <c r="U543" s="3"/>
      <c r="V543" s="6"/>
      <c r="W543" s="6"/>
      <c r="X543" s="3"/>
      <c r="Y543" s="6"/>
      <c r="Z543" s="3"/>
      <c r="AA543" s="6"/>
      <c r="AB543" s="6"/>
      <c r="AC543" s="3"/>
    </row>
    <row r="544" spans="1:29" ht="15.75" customHeight="1" x14ac:dyDescent="0.2">
      <c r="A544" s="2"/>
      <c r="B544" s="2"/>
      <c r="C544" s="2"/>
      <c r="D544" s="14"/>
      <c r="E544" s="6"/>
      <c r="F544" s="3"/>
      <c r="G544" s="6"/>
      <c r="H544" s="6"/>
      <c r="I544" s="3"/>
      <c r="J544" s="6"/>
      <c r="K544" s="3"/>
      <c r="L544" s="6"/>
      <c r="M544" s="6"/>
      <c r="N544" s="3"/>
      <c r="O544" s="6"/>
      <c r="P544" s="3"/>
      <c r="Q544" s="6"/>
      <c r="R544" s="6"/>
      <c r="S544" s="3"/>
      <c r="T544" s="6"/>
      <c r="U544" s="3"/>
      <c r="V544" s="6"/>
      <c r="W544" s="6"/>
      <c r="X544" s="3"/>
      <c r="Y544" s="6"/>
      <c r="Z544" s="3"/>
      <c r="AA544" s="6"/>
      <c r="AB544" s="6"/>
      <c r="AC544" s="3"/>
    </row>
    <row r="545" spans="1:29" ht="15.75" customHeight="1" x14ac:dyDescent="0.2">
      <c r="A545" s="2"/>
      <c r="B545" s="2"/>
      <c r="C545" s="2"/>
      <c r="D545" s="14"/>
      <c r="E545" s="6"/>
      <c r="F545" s="3"/>
      <c r="G545" s="6"/>
      <c r="H545" s="6"/>
      <c r="I545" s="3"/>
      <c r="J545" s="6"/>
      <c r="K545" s="3"/>
      <c r="L545" s="6"/>
      <c r="M545" s="6"/>
      <c r="N545" s="3"/>
      <c r="O545" s="6"/>
      <c r="P545" s="3"/>
      <c r="Q545" s="6"/>
      <c r="R545" s="6"/>
      <c r="S545" s="3"/>
      <c r="T545" s="6"/>
      <c r="U545" s="3"/>
      <c r="V545" s="6"/>
      <c r="W545" s="6"/>
      <c r="X545" s="3"/>
      <c r="Y545" s="6"/>
      <c r="Z545" s="3"/>
      <c r="AA545" s="6"/>
      <c r="AB545" s="6"/>
      <c r="AC545" s="3"/>
    </row>
    <row r="546" spans="1:29" ht="15.75" customHeight="1" x14ac:dyDescent="0.2">
      <c r="A546" s="2"/>
      <c r="B546" s="2"/>
      <c r="C546" s="2"/>
      <c r="D546" s="14"/>
      <c r="E546" s="6"/>
      <c r="F546" s="3"/>
      <c r="G546" s="6"/>
      <c r="H546" s="6"/>
      <c r="I546" s="3"/>
      <c r="J546" s="6"/>
      <c r="K546" s="3"/>
      <c r="L546" s="6"/>
      <c r="M546" s="6"/>
      <c r="N546" s="3"/>
      <c r="O546" s="6"/>
      <c r="P546" s="3"/>
      <c r="Q546" s="6"/>
      <c r="R546" s="6"/>
      <c r="S546" s="3"/>
      <c r="T546" s="6"/>
      <c r="U546" s="3"/>
      <c r="V546" s="6"/>
      <c r="W546" s="6"/>
      <c r="X546" s="3"/>
      <c r="Y546" s="6"/>
      <c r="Z546" s="3"/>
      <c r="AA546" s="6"/>
      <c r="AB546" s="6"/>
      <c r="AC546" s="3"/>
    </row>
    <row r="547" spans="1:29" ht="15.75" customHeight="1" x14ac:dyDescent="0.2">
      <c r="A547" s="2"/>
      <c r="B547" s="2"/>
      <c r="C547" s="2"/>
      <c r="D547" s="14"/>
      <c r="E547" s="6"/>
      <c r="F547" s="3"/>
      <c r="G547" s="6"/>
      <c r="H547" s="6"/>
      <c r="I547" s="3"/>
      <c r="J547" s="6"/>
      <c r="K547" s="3"/>
      <c r="L547" s="6"/>
      <c r="M547" s="6"/>
      <c r="N547" s="3"/>
      <c r="O547" s="6"/>
      <c r="P547" s="3"/>
      <c r="Q547" s="6"/>
      <c r="R547" s="6"/>
      <c r="S547" s="3"/>
      <c r="T547" s="6"/>
      <c r="U547" s="3"/>
      <c r="V547" s="6"/>
      <c r="W547" s="6"/>
      <c r="X547" s="3"/>
      <c r="Y547" s="6"/>
      <c r="Z547" s="3"/>
      <c r="AA547" s="6"/>
      <c r="AB547" s="6"/>
      <c r="AC547" s="3"/>
    </row>
    <row r="548" spans="1:29" ht="15.75" customHeight="1" x14ac:dyDescent="0.2">
      <c r="A548" s="2"/>
      <c r="B548" s="2"/>
      <c r="C548" s="2"/>
      <c r="D548" s="14"/>
      <c r="E548" s="6"/>
      <c r="F548" s="3"/>
      <c r="G548" s="6"/>
      <c r="H548" s="6"/>
      <c r="I548" s="3"/>
      <c r="J548" s="6"/>
      <c r="K548" s="3"/>
      <c r="L548" s="6"/>
      <c r="M548" s="6"/>
      <c r="N548" s="3"/>
      <c r="O548" s="6"/>
      <c r="P548" s="3"/>
      <c r="Q548" s="6"/>
      <c r="R548" s="6"/>
      <c r="S548" s="3"/>
      <c r="T548" s="6"/>
      <c r="U548" s="3"/>
      <c r="V548" s="6"/>
      <c r="W548" s="6"/>
      <c r="X548" s="3"/>
      <c r="Y548" s="6"/>
      <c r="Z548" s="3"/>
      <c r="AA548" s="6"/>
      <c r="AB548" s="6"/>
      <c r="AC548" s="3"/>
    </row>
    <row r="549" spans="1:29" ht="15.75" customHeight="1" x14ac:dyDescent="0.2">
      <c r="A549" s="2"/>
      <c r="B549" s="2"/>
      <c r="C549" s="2"/>
      <c r="D549" s="14"/>
      <c r="E549" s="6"/>
      <c r="F549" s="3"/>
      <c r="G549" s="6"/>
      <c r="H549" s="6"/>
      <c r="I549" s="3"/>
      <c r="J549" s="6"/>
      <c r="K549" s="3"/>
      <c r="L549" s="6"/>
      <c r="M549" s="6"/>
      <c r="N549" s="3"/>
      <c r="O549" s="6"/>
      <c r="P549" s="3"/>
      <c r="Q549" s="6"/>
      <c r="R549" s="6"/>
      <c r="S549" s="3"/>
      <c r="T549" s="6"/>
      <c r="U549" s="3"/>
      <c r="V549" s="6"/>
      <c r="W549" s="6"/>
      <c r="X549" s="3"/>
      <c r="Y549" s="6"/>
      <c r="Z549" s="3"/>
      <c r="AA549" s="6"/>
      <c r="AB549" s="6"/>
      <c r="AC549" s="3"/>
    </row>
    <row r="550" spans="1:29" ht="15.75" customHeight="1" x14ac:dyDescent="0.2">
      <c r="A550" s="2"/>
      <c r="B550" s="2"/>
      <c r="C550" s="2"/>
      <c r="D550" s="14"/>
      <c r="E550" s="6"/>
      <c r="F550" s="3"/>
      <c r="G550" s="6"/>
      <c r="H550" s="6"/>
      <c r="I550" s="3"/>
      <c r="J550" s="6"/>
      <c r="K550" s="3"/>
      <c r="L550" s="6"/>
      <c r="M550" s="6"/>
      <c r="N550" s="3"/>
      <c r="O550" s="6"/>
      <c r="P550" s="3"/>
      <c r="Q550" s="6"/>
      <c r="R550" s="6"/>
      <c r="S550" s="3"/>
      <c r="T550" s="6"/>
      <c r="U550" s="3"/>
      <c r="V550" s="6"/>
      <c r="W550" s="6"/>
      <c r="X550" s="3"/>
      <c r="Y550" s="6"/>
      <c r="Z550" s="3"/>
      <c r="AA550" s="6"/>
      <c r="AB550" s="6"/>
      <c r="AC550" s="3"/>
    </row>
    <row r="551" spans="1:29" ht="15.75" customHeight="1" x14ac:dyDescent="0.2">
      <c r="A551" s="2"/>
      <c r="B551" s="2"/>
      <c r="C551" s="2"/>
      <c r="D551" s="14"/>
      <c r="E551" s="6"/>
      <c r="F551" s="3"/>
      <c r="G551" s="6"/>
      <c r="H551" s="6"/>
      <c r="I551" s="3"/>
      <c r="J551" s="6"/>
      <c r="K551" s="3"/>
      <c r="L551" s="6"/>
      <c r="M551" s="6"/>
      <c r="N551" s="3"/>
      <c r="O551" s="6"/>
      <c r="P551" s="3"/>
      <c r="Q551" s="6"/>
      <c r="R551" s="6"/>
      <c r="S551" s="3"/>
      <c r="T551" s="6"/>
      <c r="U551" s="3"/>
      <c r="V551" s="6"/>
      <c r="W551" s="6"/>
      <c r="X551" s="3"/>
      <c r="Y551" s="6"/>
      <c r="Z551" s="3"/>
      <c r="AA551" s="6"/>
      <c r="AB551" s="6"/>
      <c r="AC551" s="3"/>
    </row>
    <row r="552" spans="1:29" ht="15.75" customHeight="1" x14ac:dyDescent="0.2">
      <c r="A552" s="2"/>
      <c r="B552" s="2"/>
      <c r="C552" s="2"/>
      <c r="D552" s="14"/>
      <c r="E552" s="6"/>
      <c r="F552" s="3"/>
      <c r="G552" s="6"/>
      <c r="H552" s="6"/>
      <c r="I552" s="3"/>
      <c r="J552" s="6"/>
      <c r="K552" s="3"/>
      <c r="L552" s="6"/>
      <c r="M552" s="6"/>
      <c r="N552" s="3"/>
      <c r="O552" s="6"/>
      <c r="P552" s="3"/>
      <c r="Q552" s="6"/>
      <c r="R552" s="6"/>
      <c r="S552" s="3"/>
      <c r="T552" s="6"/>
      <c r="U552" s="3"/>
      <c r="V552" s="6"/>
      <c r="W552" s="6"/>
      <c r="X552" s="3"/>
      <c r="Y552" s="6"/>
      <c r="Z552" s="3"/>
      <c r="AA552" s="6"/>
      <c r="AB552" s="6"/>
      <c r="AC552" s="3"/>
    </row>
    <row r="553" spans="1:29" ht="15.75" customHeight="1" x14ac:dyDescent="0.2">
      <c r="A553" s="2"/>
      <c r="B553" s="2"/>
      <c r="C553" s="2"/>
      <c r="D553" s="14"/>
      <c r="E553" s="6"/>
      <c r="F553" s="3"/>
      <c r="G553" s="6"/>
      <c r="H553" s="6"/>
      <c r="I553" s="3"/>
      <c r="J553" s="6"/>
      <c r="K553" s="3"/>
      <c r="L553" s="6"/>
      <c r="M553" s="6"/>
      <c r="N553" s="3"/>
      <c r="O553" s="6"/>
      <c r="P553" s="3"/>
      <c r="Q553" s="6"/>
      <c r="R553" s="6"/>
      <c r="S553" s="3"/>
      <c r="T553" s="6"/>
      <c r="U553" s="3"/>
      <c r="V553" s="6"/>
      <c r="W553" s="6"/>
      <c r="X553" s="3"/>
      <c r="Y553" s="6"/>
      <c r="Z553" s="3"/>
      <c r="AA553" s="6"/>
      <c r="AB553" s="6"/>
      <c r="AC553" s="3"/>
    </row>
    <row r="554" spans="1:29" ht="15.75" customHeight="1" x14ac:dyDescent="0.2">
      <c r="A554" s="2"/>
      <c r="B554" s="2"/>
      <c r="C554" s="2"/>
      <c r="D554" s="14"/>
      <c r="E554" s="6"/>
      <c r="F554" s="3"/>
      <c r="G554" s="6"/>
      <c r="H554" s="6"/>
      <c r="I554" s="3"/>
      <c r="J554" s="6"/>
      <c r="K554" s="3"/>
      <c r="L554" s="6"/>
      <c r="M554" s="6"/>
      <c r="N554" s="3"/>
      <c r="O554" s="6"/>
      <c r="P554" s="3"/>
      <c r="Q554" s="6"/>
      <c r="R554" s="6"/>
      <c r="S554" s="3"/>
      <c r="T554" s="6"/>
      <c r="U554" s="3"/>
      <c r="V554" s="6"/>
      <c r="W554" s="6"/>
      <c r="X554" s="3"/>
      <c r="Y554" s="6"/>
      <c r="Z554" s="3"/>
      <c r="AA554" s="6"/>
      <c r="AB554" s="6"/>
      <c r="AC554" s="3"/>
    </row>
    <row r="555" spans="1:29" ht="15.75" customHeight="1" x14ac:dyDescent="0.2">
      <c r="A555" s="2"/>
      <c r="B555" s="2"/>
      <c r="C555" s="2"/>
      <c r="D555" s="14"/>
      <c r="E555" s="6"/>
      <c r="F555" s="3"/>
      <c r="G555" s="6"/>
      <c r="H555" s="6"/>
      <c r="I555" s="3"/>
      <c r="J555" s="6"/>
      <c r="K555" s="3"/>
      <c r="L555" s="6"/>
      <c r="M555" s="6"/>
      <c r="N555" s="3"/>
      <c r="O555" s="6"/>
      <c r="P555" s="3"/>
      <c r="Q555" s="6"/>
      <c r="R555" s="6"/>
      <c r="S555" s="3"/>
      <c r="T555" s="6"/>
      <c r="U555" s="3"/>
      <c r="V555" s="6"/>
      <c r="W555" s="6"/>
      <c r="X555" s="3"/>
      <c r="Y555" s="6"/>
      <c r="Z555" s="3"/>
      <c r="AA555" s="6"/>
      <c r="AB555" s="6"/>
      <c r="AC555" s="3"/>
    </row>
    <row r="556" spans="1:29" ht="15.75" customHeight="1" x14ac:dyDescent="0.2">
      <c r="A556" s="2"/>
      <c r="B556" s="2"/>
      <c r="C556" s="2"/>
      <c r="D556" s="14"/>
      <c r="E556" s="6"/>
      <c r="F556" s="3"/>
      <c r="G556" s="6"/>
      <c r="H556" s="6"/>
      <c r="I556" s="3"/>
      <c r="J556" s="6"/>
      <c r="K556" s="3"/>
      <c r="L556" s="6"/>
      <c r="M556" s="6"/>
      <c r="N556" s="3"/>
      <c r="O556" s="6"/>
      <c r="P556" s="3"/>
      <c r="Q556" s="6"/>
      <c r="R556" s="6"/>
      <c r="S556" s="3"/>
      <c r="T556" s="6"/>
      <c r="U556" s="3"/>
      <c r="V556" s="6"/>
      <c r="W556" s="6"/>
      <c r="X556" s="3"/>
      <c r="Y556" s="6"/>
      <c r="Z556" s="3"/>
      <c r="AA556" s="6"/>
      <c r="AB556" s="6"/>
      <c r="AC556" s="3"/>
    </row>
    <row r="557" spans="1:29" ht="15.75" customHeight="1" x14ac:dyDescent="0.2">
      <c r="A557" s="2"/>
      <c r="B557" s="2"/>
      <c r="C557" s="2"/>
      <c r="D557" s="14"/>
      <c r="E557" s="6"/>
      <c r="F557" s="3"/>
      <c r="G557" s="6"/>
      <c r="H557" s="6"/>
      <c r="I557" s="3"/>
      <c r="J557" s="6"/>
      <c r="K557" s="3"/>
      <c r="L557" s="6"/>
      <c r="M557" s="6"/>
      <c r="N557" s="3"/>
      <c r="O557" s="6"/>
      <c r="P557" s="3"/>
      <c r="Q557" s="6"/>
      <c r="R557" s="6"/>
      <c r="S557" s="3"/>
      <c r="T557" s="6"/>
      <c r="U557" s="3"/>
      <c r="V557" s="6"/>
      <c r="W557" s="6"/>
      <c r="X557" s="3"/>
      <c r="Y557" s="6"/>
      <c r="Z557" s="3"/>
      <c r="AA557" s="6"/>
      <c r="AB557" s="6"/>
      <c r="AC557" s="3"/>
    </row>
    <row r="558" spans="1:29" ht="15.75" customHeight="1" x14ac:dyDescent="0.2">
      <c r="A558" s="2"/>
      <c r="B558" s="2"/>
      <c r="C558" s="2"/>
      <c r="D558" s="14"/>
      <c r="E558" s="6"/>
      <c r="F558" s="3"/>
      <c r="G558" s="6"/>
      <c r="H558" s="6"/>
      <c r="I558" s="3"/>
      <c r="J558" s="6"/>
      <c r="K558" s="3"/>
      <c r="L558" s="6"/>
      <c r="M558" s="6"/>
      <c r="N558" s="3"/>
      <c r="O558" s="6"/>
      <c r="P558" s="3"/>
      <c r="Q558" s="6"/>
      <c r="R558" s="6"/>
      <c r="S558" s="3"/>
      <c r="T558" s="6"/>
      <c r="U558" s="3"/>
      <c r="V558" s="6"/>
      <c r="W558" s="6"/>
      <c r="X558" s="3"/>
      <c r="Y558" s="6"/>
      <c r="Z558" s="3"/>
      <c r="AA558" s="6"/>
      <c r="AB558" s="6"/>
      <c r="AC558" s="3"/>
    </row>
    <row r="559" spans="1:29" ht="15.75" customHeight="1" x14ac:dyDescent="0.2">
      <c r="A559" s="2"/>
      <c r="B559" s="2"/>
      <c r="C559" s="2"/>
      <c r="D559" s="14"/>
      <c r="E559" s="6"/>
      <c r="F559" s="3"/>
      <c r="G559" s="6"/>
      <c r="H559" s="6"/>
      <c r="I559" s="3"/>
      <c r="J559" s="6"/>
      <c r="K559" s="3"/>
      <c r="L559" s="6"/>
      <c r="M559" s="6"/>
      <c r="N559" s="3"/>
      <c r="O559" s="6"/>
      <c r="P559" s="3"/>
      <c r="Q559" s="6"/>
      <c r="R559" s="6"/>
      <c r="S559" s="3"/>
      <c r="T559" s="6"/>
      <c r="U559" s="3"/>
      <c r="V559" s="6"/>
      <c r="W559" s="6"/>
      <c r="X559" s="3"/>
      <c r="Y559" s="6"/>
      <c r="Z559" s="3"/>
      <c r="AA559" s="6"/>
      <c r="AB559" s="6"/>
      <c r="AC559" s="3"/>
    </row>
    <row r="560" spans="1:29" ht="15.75" customHeight="1" x14ac:dyDescent="0.2">
      <c r="A560" s="2"/>
      <c r="B560" s="2"/>
      <c r="C560" s="2"/>
      <c r="D560" s="14"/>
      <c r="E560" s="6"/>
      <c r="F560" s="3"/>
      <c r="G560" s="6"/>
      <c r="H560" s="6"/>
      <c r="I560" s="3"/>
      <c r="J560" s="6"/>
      <c r="K560" s="3"/>
      <c r="L560" s="6"/>
      <c r="M560" s="6"/>
      <c r="N560" s="3"/>
      <c r="O560" s="6"/>
      <c r="P560" s="3"/>
      <c r="Q560" s="6"/>
      <c r="R560" s="6"/>
      <c r="S560" s="3"/>
      <c r="T560" s="6"/>
      <c r="U560" s="3"/>
      <c r="V560" s="6"/>
      <c r="W560" s="6"/>
      <c r="X560" s="3"/>
      <c r="Y560" s="6"/>
      <c r="Z560" s="3"/>
      <c r="AA560" s="6"/>
      <c r="AB560" s="6"/>
      <c r="AC560" s="3"/>
    </row>
    <row r="561" spans="1:29" ht="15.75" customHeight="1" x14ac:dyDescent="0.2">
      <c r="A561" s="2"/>
      <c r="B561" s="2"/>
      <c r="C561" s="2"/>
      <c r="D561" s="14"/>
      <c r="E561" s="6"/>
      <c r="F561" s="3"/>
      <c r="G561" s="6"/>
      <c r="H561" s="6"/>
      <c r="I561" s="3"/>
      <c r="J561" s="6"/>
      <c r="K561" s="3"/>
      <c r="L561" s="6"/>
      <c r="M561" s="6"/>
      <c r="N561" s="3"/>
      <c r="O561" s="6"/>
      <c r="P561" s="3"/>
      <c r="Q561" s="6"/>
      <c r="R561" s="6"/>
      <c r="S561" s="3"/>
      <c r="T561" s="6"/>
      <c r="U561" s="3"/>
      <c r="V561" s="6"/>
      <c r="W561" s="6"/>
      <c r="X561" s="3"/>
      <c r="Y561" s="6"/>
      <c r="Z561" s="3"/>
      <c r="AA561" s="6"/>
      <c r="AB561" s="6"/>
      <c r="AC561" s="3"/>
    </row>
    <row r="562" spans="1:29" ht="15.75" customHeight="1" x14ac:dyDescent="0.2">
      <c r="A562" s="2"/>
      <c r="B562" s="2"/>
      <c r="C562" s="2"/>
      <c r="D562" s="14"/>
      <c r="E562" s="6"/>
      <c r="F562" s="3"/>
      <c r="G562" s="6"/>
      <c r="H562" s="6"/>
      <c r="I562" s="3"/>
      <c r="J562" s="6"/>
      <c r="K562" s="3"/>
      <c r="L562" s="6"/>
      <c r="M562" s="6"/>
      <c r="N562" s="3"/>
      <c r="O562" s="6"/>
      <c r="P562" s="3"/>
      <c r="Q562" s="6"/>
      <c r="R562" s="6"/>
      <c r="S562" s="3"/>
      <c r="T562" s="6"/>
      <c r="U562" s="3"/>
      <c r="V562" s="6"/>
      <c r="W562" s="6"/>
      <c r="X562" s="3"/>
      <c r="Y562" s="6"/>
      <c r="Z562" s="3"/>
      <c r="AA562" s="6"/>
      <c r="AB562" s="6"/>
      <c r="AC562" s="3"/>
    </row>
    <row r="563" spans="1:29" ht="15.75" customHeight="1" x14ac:dyDescent="0.2">
      <c r="A563" s="2"/>
      <c r="B563" s="2"/>
      <c r="C563" s="2"/>
      <c r="D563" s="14"/>
      <c r="E563" s="6"/>
      <c r="F563" s="3"/>
      <c r="G563" s="6"/>
      <c r="H563" s="6"/>
      <c r="I563" s="3"/>
      <c r="J563" s="6"/>
      <c r="K563" s="3"/>
      <c r="L563" s="6"/>
      <c r="M563" s="6"/>
      <c r="N563" s="3"/>
      <c r="O563" s="6"/>
      <c r="P563" s="3"/>
      <c r="Q563" s="6"/>
      <c r="R563" s="6"/>
      <c r="S563" s="3"/>
      <c r="T563" s="6"/>
      <c r="U563" s="3"/>
      <c r="V563" s="6"/>
      <c r="W563" s="6"/>
      <c r="X563" s="3"/>
      <c r="Y563" s="6"/>
      <c r="Z563" s="3"/>
      <c r="AA563" s="6"/>
      <c r="AB563" s="6"/>
      <c r="AC563" s="3"/>
    </row>
    <row r="564" spans="1:29" ht="15.75" customHeight="1" x14ac:dyDescent="0.2">
      <c r="A564" s="2"/>
      <c r="B564" s="2"/>
      <c r="C564" s="2"/>
      <c r="D564" s="14"/>
      <c r="E564" s="6"/>
      <c r="F564" s="3"/>
      <c r="G564" s="6"/>
      <c r="H564" s="6"/>
      <c r="I564" s="3"/>
      <c r="J564" s="6"/>
      <c r="K564" s="3"/>
      <c r="L564" s="6"/>
      <c r="M564" s="6"/>
      <c r="N564" s="3"/>
      <c r="O564" s="6"/>
      <c r="P564" s="3"/>
      <c r="Q564" s="6"/>
      <c r="R564" s="6"/>
      <c r="S564" s="3"/>
      <c r="T564" s="6"/>
      <c r="U564" s="3"/>
      <c r="V564" s="6"/>
      <c r="W564" s="6"/>
      <c r="X564" s="3"/>
      <c r="Y564" s="6"/>
      <c r="Z564" s="3"/>
      <c r="AA564" s="6"/>
      <c r="AB564" s="6"/>
      <c r="AC564" s="3"/>
    </row>
    <row r="565" spans="1:29" ht="15.75" customHeight="1" x14ac:dyDescent="0.2">
      <c r="A565" s="2"/>
      <c r="B565" s="2"/>
      <c r="C565" s="2"/>
      <c r="D565" s="14"/>
      <c r="E565" s="6"/>
      <c r="F565" s="3"/>
      <c r="G565" s="6"/>
      <c r="H565" s="6"/>
      <c r="I565" s="3"/>
      <c r="J565" s="6"/>
      <c r="K565" s="3"/>
      <c r="L565" s="6"/>
      <c r="M565" s="6"/>
      <c r="N565" s="3"/>
      <c r="O565" s="6"/>
      <c r="P565" s="3"/>
      <c r="Q565" s="6"/>
      <c r="R565" s="6"/>
      <c r="S565" s="3"/>
      <c r="T565" s="6"/>
      <c r="U565" s="3"/>
      <c r="V565" s="6"/>
      <c r="W565" s="6"/>
      <c r="X565" s="3"/>
      <c r="Y565" s="6"/>
      <c r="Z565" s="3"/>
      <c r="AA565" s="6"/>
      <c r="AB565" s="6"/>
      <c r="AC565" s="3"/>
    </row>
    <row r="566" spans="1:29" ht="15.75" customHeight="1" x14ac:dyDescent="0.2">
      <c r="A566" s="2"/>
      <c r="B566" s="2"/>
      <c r="C566" s="2"/>
      <c r="D566" s="14"/>
      <c r="E566" s="6"/>
      <c r="F566" s="3"/>
      <c r="G566" s="6"/>
      <c r="H566" s="6"/>
      <c r="I566" s="3"/>
      <c r="J566" s="6"/>
      <c r="K566" s="3"/>
      <c r="L566" s="6"/>
      <c r="M566" s="6"/>
      <c r="N566" s="3"/>
      <c r="O566" s="6"/>
      <c r="P566" s="3"/>
      <c r="Q566" s="6"/>
      <c r="R566" s="6"/>
      <c r="S566" s="3"/>
      <c r="T566" s="6"/>
      <c r="U566" s="3"/>
      <c r="V566" s="6"/>
      <c r="W566" s="6"/>
      <c r="X566" s="3"/>
      <c r="Y566" s="6"/>
      <c r="Z566" s="3"/>
      <c r="AA566" s="6"/>
      <c r="AB566" s="6"/>
      <c r="AC566" s="3"/>
    </row>
    <row r="567" spans="1:29" ht="15.75" customHeight="1" x14ac:dyDescent="0.2">
      <c r="A567" s="2"/>
      <c r="B567" s="2"/>
      <c r="C567" s="2"/>
      <c r="D567" s="14"/>
      <c r="E567" s="6"/>
      <c r="F567" s="3"/>
      <c r="G567" s="6"/>
      <c r="H567" s="6"/>
      <c r="I567" s="3"/>
      <c r="J567" s="6"/>
      <c r="K567" s="3"/>
      <c r="L567" s="6"/>
      <c r="M567" s="6"/>
      <c r="N567" s="3"/>
      <c r="O567" s="6"/>
      <c r="P567" s="3"/>
      <c r="Q567" s="6"/>
      <c r="R567" s="6"/>
      <c r="S567" s="3"/>
      <c r="T567" s="6"/>
      <c r="U567" s="3"/>
      <c r="V567" s="6"/>
      <c r="W567" s="6"/>
      <c r="X567" s="3"/>
      <c r="Y567" s="6"/>
      <c r="Z567" s="3"/>
      <c r="AA567" s="6"/>
      <c r="AB567" s="6"/>
      <c r="AC567" s="3"/>
    </row>
    <row r="568" spans="1:29" ht="15.75" customHeight="1" x14ac:dyDescent="0.2">
      <c r="A568" s="2"/>
      <c r="B568" s="2"/>
      <c r="C568" s="2"/>
      <c r="D568" s="14"/>
      <c r="E568" s="6"/>
      <c r="F568" s="3"/>
      <c r="G568" s="6"/>
      <c r="H568" s="6"/>
      <c r="I568" s="3"/>
      <c r="J568" s="6"/>
      <c r="K568" s="3"/>
      <c r="L568" s="6"/>
      <c r="M568" s="6"/>
      <c r="N568" s="3"/>
      <c r="O568" s="6"/>
      <c r="P568" s="3"/>
      <c r="Q568" s="6"/>
      <c r="R568" s="6"/>
      <c r="S568" s="3"/>
      <c r="T568" s="6"/>
      <c r="U568" s="3"/>
      <c r="V568" s="6"/>
      <c r="W568" s="6"/>
      <c r="X568" s="3"/>
      <c r="Y568" s="6"/>
      <c r="Z568" s="3"/>
      <c r="AA568" s="6"/>
      <c r="AB568" s="6"/>
      <c r="AC568" s="3"/>
    </row>
    <row r="569" spans="1:29" ht="15.75" customHeight="1" x14ac:dyDescent="0.2">
      <c r="A569" s="2"/>
      <c r="B569" s="2"/>
      <c r="C569" s="2"/>
      <c r="D569" s="14"/>
      <c r="E569" s="6"/>
      <c r="F569" s="3"/>
      <c r="G569" s="6"/>
      <c r="H569" s="6"/>
      <c r="I569" s="3"/>
      <c r="J569" s="6"/>
      <c r="K569" s="3"/>
      <c r="L569" s="6"/>
      <c r="M569" s="6"/>
      <c r="N569" s="3"/>
      <c r="O569" s="6"/>
      <c r="P569" s="3"/>
      <c r="Q569" s="6"/>
      <c r="R569" s="6"/>
      <c r="S569" s="3"/>
      <c r="T569" s="6"/>
      <c r="U569" s="3"/>
      <c r="V569" s="6"/>
      <c r="W569" s="6"/>
      <c r="X569" s="3"/>
      <c r="Y569" s="6"/>
      <c r="Z569" s="3"/>
      <c r="AA569" s="6"/>
      <c r="AB569" s="6"/>
      <c r="AC569" s="3"/>
    </row>
    <row r="570" spans="1:29" ht="15.75" customHeight="1" x14ac:dyDescent="0.2">
      <c r="A570" s="2"/>
      <c r="B570" s="2"/>
      <c r="C570" s="2"/>
      <c r="D570" s="14"/>
      <c r="E570" s="6"/>
      <c r="F570" s="3"/>
      <c r="G570" s="6"/>
      <c r="H570" s="6"/>
      <c r="I570" s="3"/>
      <c r="J570" s="6"/>
      <c r="K570" s="3"/>
      <c r="L570" s="6"/>
      <c r="M570" s="6"/>
      <c r="N570" s="3"/>
      <c r="O570" s="6"/>
      <c r="P570" s="3"/>
      <c r="Q570" s="6"/>
      <c r="R570" s="6"/>
      <c r="S570" s="3"/>
      <c r="T570" s="6"/>
      <c r="U570" s="3"/>
      <c r="V570" s="6"/>
      <c r="W570" s="6"/>
      <c r="X570" s="3"/>
      <c r="Y570" s="6"/>
      <c r="Z570" s="3"/>
      <c r="AA570" s="6"/>
      <c r="AB570" s="6"/>
      <c r="AC570" s="3"/>
    </row>
    <row r="571" spans="1:29" ht="15.75" customHeight="1" x14ac:dyDescent="0.2">
      <c r="A571" s="2"/>
      <c r="B571" s="2"/>
      <c r="C571" s="2"/>
      <c r="D571" s="14"/>
      <c r="E571" s="6"/>
      <c r="F571" s="3"/>
      <c r="G571" s="6"/>
      <c r="H571" s="6"/>
      <c r="I571" s="3"/>
      <c r="J571" s="6"/>
      <c r="K571" s="3"/>
      <c r="L571" s="6"/>
      <c r="M571" s="6"/>
      <c r="N571" s="3"/>
      <c r="O571" s="6"/>
      <c r="P571" s="3"/>
      <c r="Q571" s="6"/>
      <c r="R571" s="6"/>
      <c r="S571" s="3"/>
      <c r="T571" s="6"/>
      <c r="U571" s="3"/>
      <c r="V571" s="6"/>
      <c r="W571" s="6"/>
      <c r="X571" s="3"/>
      <c r="Y571" s="6"/>
      <c r="Z571" s="3"/>
      <c r="AA571" s="6"/>
      <c r="AB571" s="6"/>
      <c r="AC571" s="3"/>
    </row>
    <row r="572" spans="1:29" ht="15.75" customHeight="1" x14ac:dyDescent="0.2">
      <c r="A572" s="2"/>
      <c r="B572" s="2"/>
      <c r="C572" s="2"/>
      <c r="D572" s="14"/>
      <c r="E572" s="6"/>
      <c r="F572" s="3"/>
      <c r="G572" s="6"/>
      <c r="H572" s="6"/>
      <c r="I572" s="3"/>
      <c r="J572" s="6"/>
      <c r="K572" s="3"/>
      <c r="L572" s="6"/>
      <c r="M572" s="6"/>
      <c r="N572" s="3"/>
      <c r="O572" s="6"/>
      <c r="P572" s="3"/>
      <c r="Q572" s="6"/>
      <c r="R572" s="6"/>
      <c r="S572" s="3"/>
      <c r="T572" s="6"/>
      <c r="U572" s="3"/>
      <c r="V572" s="6"/>
      <c r="W572" s="6"/>
      <c r="X572" s="3"/>
      <c r="Y572" s="6"/>
      <c r="Z572" s="3"/>
      <c r="AA572" s="6"/>
      <c r="AB572" s="6"/>
      <c r="AC572" s="3"/>
    </row>
    <row r="573" spans="1:29" ht="15.75" customHeight="1" x14ac:dyDescent="0.2">
      <c r="A573" s="2"/>
      <c r="B573" s="2"/>
      <c r="C573" s="2"/>
      <c r="D573" s="14"/>
      <c r="E573" s="6"/>
      <c r="F573" s="3"/>
      <c r="G573" s="6"/>
      <c r="H573" s="6"/>
      <c r="I573" s="3"/>
      <c r="J573" s="6"/>
      <c r="K573" s="3"/>
      <c r="L573" s="6"/>
      <c r="M573" s="6"/>
      <c r="N573" s="3"/>
      <c r="O573" s="6"/>
      <c r="P573" s="3"/>
      <c r="Q573" s="6"/>
      <c r="R573" s="6"/>
      <c r="S573" s="3"/>
      <c r="T573" s="6"/>
      <c r="U573" s="3"/>
      <c r="V573" s="6"/>
      <c r="W573" s="6"/>
      <c r="X573" s="3"/>
      <c r="Y573" s="6"/>
      <c r="Z573" s="3"/>
      <c r="AA573" s="6"/>
      <c r="AB573" s="6"/>
      <c r="AC573" s="3"/>
    </row>
    <row r="574" spans="1:29" ht="15.75" customHeight="1" x14ac:dyDescent="0.2">
      <c r="A574" s="2"/>
      <c r="B574" s="2"/>
      <c r="C574" s="2"/>
      <c r="D574" s="14"/>
      <c r="E574" s="6"/>
      <c r="F574" s="3"/>
      <c r="G574" s="6"/>
      <c r="H574" s="6"/>
      <c r="I574" s="3"/>
      <c r="J574" s="6"/>
      <c r="K574" s="3"/>
      <c r="L574" s="6"/>
      <c r="M574" s="6"/>
      <c r="N574" s="3"/>
      <c r="O574" s="6"/>
      <c r="P574" s="3"/>
      <c r="Q574" s="6"/>
      <c r="R574" s="6"/>
      <c r="S574" s="3"/>
      <c r="T574" s="6"/>
      <c r="U574" s="3"/>
      <c r="V574" s="6"/>
      <c r="W574" s="6"/>
      <c r="X574" s="3"/>
      <c r="Y574" s="6"/>
      <c r="Z574" s="3"/>
      <c r="AA574" s="6"/>
      <c r="AB574" s="6"/>
      <c r="AC574" s="3"/>
    </row>
    <row r="575" spans="1:29" ht="15.75" customHeight="1" x14ac:dyDescent="0.2">
      <c r="A575" s="2"/>
      <c r="B575" s="2"/>
      <c r="C575" s="2"/>
      <c r="D575" s="14"/>
      <c r="E575" s="6"/>
      <c r="F575" s="3"/>
      <c r="G575" s="6"/>
      <c r="H575" s="6"/>
      <c r="I575" s="3"/>
      <c r="J575" s="6"/>
      <c r="K575" s="3"/>
      <c r="L575" s="6"/>
      <c r="M575" s="6"/>
      <c r="N575" s="3"/>
      <c r="O575" s="6"/>
      <c r="P575" s="3"/>
      <c r="Q575" s="6"/>
      <c r="R575" s="6"/>
      <c r="S575" s="3"/>
      <c r="T575" s="6"/>
      <c r="U575" s="3"/>
      <c r="V575" s="6"/>
      <c r="W575" s="6"/>
      <c r="X575" s="3"/>
      <c r="Y575" s="6"/>
      <c r="Z575" s="3"/>
      <c r="AA575" s="6"/>
      <c r="AB575" s="6"/>
      <c r="AC575" s="3"/>
    </row>
    <row r="576" spans="1:29" ht="15.75" customHeight="1" x14ac:dyDescent="0.2">
      <c r="A576" s="2"/>
      <c r="B576" s="2"/>
      <c r="C576" s="2"/>
      <c r="D576" s="14"/>
      <c r="E576" s="6"/>
      <c r="F576" s="3"/>
      <c r="G576" s="6"/>
      <c r="H576" s="6"/>
      <c r="I576" s="3"/>
      <c r="J576" s="6"/>
      <c r="K576" s="3"/>
      <c r="L576" s="6"/>
      <c r="M576" s="6"/>
      <c r="N576" s="3"/>
      <c r="O576" s="6"/>
      <c r="P576" s="3"/>
      <c r="Q576" s="6"/>
      <c r="R576" s="6"/>
      <c r="S576" s="3"/>
      <c r="T576" s="6"/>
      <c r="U576" s="3"/>
      <c r="V576" s="6"/>
      <c r="W576" s="6"/>
      <c r="X576" s="3"/>
      <c r="Y576" s="6"/>
      <c r="Z576" s="3"/>
      <c r="AA576" s="6"/>
      <c r="AB576" s="6"/>
      <c r="AC576" s="3"/>
    </row>
    <row r="577" spans="1:29" ht="15.75" customHeight="1" x14ac:dyDescent="0.2">
      <c r="A577" s="2"/>
      <c r="B577" s="2"/>
      <c r="C577" s="2"/>
      <c r="D577" s="14"/>
      <c r="E577" s="6"/>
      <c r="F577" s="3"/>
      <c r="G577" s="6"/>
      <c r="H577" s="6"/>
      <c r="I577" s="3"/>
      <c r="J577" s="6"/>
      <c r="K577" s="3"/>
      <c r="L577" s="6"/>
      <c r="M577" s="6"/>
      <c r="N577" s="3"/>
      <c r="O577" s="6"/>
      <c r="P577" s="3"/>
      <c r="Q577" s="6"/>
      <c r="R577" s="6"/>
      <c r="S577" s="3"/>
      <c r="T577" s="6"/>
      <c r="U577" s="3"/>
      <c r="V577" s="6"/>
      <c r="W577" s="6"/>
      <c r="X577" s="3"/>
      <c r="Y577" s="6"/>
      <c r="Z577" s="3"/>
      <c r="AA577" s="6"/>
      <c r="AB577" s="6"/>
      <c r="AC577" s="3"/>
    </row>
    <row r="578" spans="1:29" ht="15.75" customHeight="1" x14ac:dyDescent="0.2">
      <c r="A578" s="2"/>
      <c r="B578" s="2"/>
      <c r="C578" s="2"/>
      <c r="D578" s="14"/>
      <c r="E578" s="6"/>
      <c r="F578" s="3"/>
      <c r="G578" s="6"/>
      <c r="H578" s="6"/>
      <c r="I578" s="3"/>
      <c r="J578" s="6"/>
      <c r="K578" s="3"/>
      <c r="L578" s="6"/>
      <c r="M578" s="6"/>
      <c r="N578" s="3"/>
      <c r="O578" s="6"/>
      <c r="P578" s="3"/>
      <c r="Q578" s="6"/>
      <c r="R578" s="6"/>
      <c r="S578" s="3"/>
      <c r="T578" s="6"/>
      <c r="U578" s="3"/>
      <c r="V578" s="6"/>
      <c r="W578" s="6"/>
      <c r="X578" s="3"/>
      <c r="Y578" s="6"/>
      <c r="Z578" s="3"/>
      <c r="AA578" s="6"/>
      <c r="AB578" s="6"/>
      <c r="AC578" s="3"/>
    </row>
    <row r="579" spans="1:29" ht="15.75" customHeight="1" x14ac:dyDescent="0.2">
      <c r="A579" s="2"/>
      <c r="B579" s="2"/>
      <c r="C579" s="2"/>
      <c r="D579" s="14"/>
      <c r="E579" s="6"/>
      <c r="F579" s="3"/>
      <c r="G579" s="6"/>
      <c r="H579" s="6"/>
      <c r="I579" s="3"/>
      <c r="J579" s="6"/>
      <c r="K579" s="3"/>
      <c r="L579" s="6"/>
      <c r="M579" s="6"/>
      <c r="N579" s="3"/>
      <c r="O579" s="6"/>
      <c r="P579" s="3"/>
      <c r="Q579" s="6"/>
      <c r="R579" s="6"/>
      <c r="S579" s="3"/>
      <c r="T579" s="6"/>
      <c r="U579" s="3"/>
      <c r="V579" s="6"/>
      <c r="W579" s="6"/>
      <c r="X579" s="3"/>
      <c r="Y579" s="6"/>
      <c r="Z579" s="3"/>
      <c r="AA579" s="6"/>
      <c r="AB579" s="6"/>
      <c r="AC579" s="3"/>
    </row>
    <row r="580" spans="1:29" ht="15.75" customHeight="1" x14ac:dyDescent="0.2">
      <c r="A580" s="2"/>
      <c r="B580" s="2"/>
      <c r="C580" s="2"/>
      <c r="D580" s="14"/>
      <c r="E580" s="6"/>
      <c r="F580" s="3"/>
      <c r="G580" s="6"/>
      <c r="H580" s="6"/>
      <c r="I580" s="3"/>
      <c r="J580" s="6"/>
      <c r="K580" s="3"/>
      <c r="L580" s="6"/>
      <c r="M580" s="6"/>
      <c r="N580" s="3"/>
      <c r="O580" s="6"/>
      <c r="P580" s="3"/>
      <c r="Q580" s="6"/>
      <c r="R580" s="6"/>
      <c r="S580" s="3"/>
      <c r="T580" s="6"/>
      <c r="U580" s="3"/>
      <c r="V580" s="6"/>
      <c r="W580" s="6"/>
      <c r="X580" s="3"/>
      <c r="Y580" s="6"/>
      <c r="Z580" s="3"/>
      <c r="AA580" s="6"/>
      <c r="AB580" s="6"/>
      <c r="AC580" s="3"/>
    </row>
    <row r="581" spans="1:29" ht="15.75" customHeight="1" x14ac:dyDescent="0.2">
      <c r="A581" s="2"/>
      <c r="B581" s="2"/>
      <c r="C581" s="2"/>
      <c r="D581" s="14"/>
      <c r="E581" s="6"/>
      <c r="F581" s="3"/>
      <c r="G581" s="6"/>
      <c r="H581" s="6"/>
      <c r="I581" s="3"/>
      <c r="J581" s="6"/>
      <c r="K581" s="3"/>
      <c r="L581" s="6"/>
      <c r="M581" s="6"/>
      <c r="N581" s="3"/>
      <c r="O581" s="6"/>
      <c r="P581" s="3"/>
      <c r="Q581" s="6"/>
      <c r="R581" s="6"/>
      <c r="S581" s="3"/>
      <c r="T581" s="6"/>
      <c r="U581" s="3"/>
      <c r="V581" s="6"/>
      <c r="W581" s="6"/>
      <c r="X581" s="3"/>
      <c r="Y581" s="6"/>
      <c r="Z581" s="3"/>
      <c r="AA581" s="6"/>
      <c r="AB581" s="6"/>
      <c r="AC581" s="3"/>
    </row>
    <row r="582" spans="1:29" ht="15.75" customHeight="1" x14ac:dyDescent="0.2">
      <c r="A582" s="2"/>
      <c r="B582" s="2"/>
      <c r="C582" s="2"/>
      <c r="D582" s="14"/>
      <c r="E582" s="6"/>
      <c r="F582" s="3"/>
      <c r="G582" s="6"/>
      <c r="H582" s="6"/>
      <c r="I582" s="3"/>
      <c r="J582" s="6"/>
      <c r="K582" s="3"/>
      <c r="L582" s="6"/>
      <c r="M582" s="6"/>
      <c r="N582" s="3"/>
      <c r="O582" s="6"/>
      <c r="P582" s="3"/>
      <c r="Q582" s="6"/>
      <c r="R582" s="6"/>
      <c r="S582" s="3"/>
      <c r="T582" s="6"/>
      <c r="U582" s="3"/>
      <c r="V582" s="6"/>
      <c r="W582" s="6"/>
      <c r="X582" s="3"/>
      <c r="Y582" s="6"/>
      <c r="Z582" s="3"/>
      <c r="AA582" s="6"/>
      <c r="AB582" s="6"/>
      <c r="AC582" s="3"/>
    </row>
    <row r="583" spans="1:29" ht="15.75" customHeight="1" x14ac:dyDescent="0.2">
      <c r="A583" s="2"/>
      <c r="B583" s="2"/>
      <c r="C583" s="2"/>
      <c r="D583" s="14"/>
      <c r="E583" s="6"/>
      <c r="F583" s="3"/>
      <c r="G583" s="6"/>
      <c r="H583" s="6"/>
      <c r="I583" s="3"/>
      <c r="J583" s="6"/>
      <c r="K583" s="3"/>
      <c r="L583" s="6"/>
      <c r="M583" s="6"/>
      <c r="N583" s="3"/>
      <c r="O583" s="6"/>
      <c r="P583" s="3"/>
      <c r="Q583" s="6"/>
      <c r="R583" s="6"/>
      <c r="S583" s="3"/>
      <c r="T583" s="6"/>
      <c r="U583" s="3"/>
      <c r="V583" s="6"/>
      <c r="W583" s="6"/>
      <c r="X583" s="3"/>
      <c r="Y583" s="6"/>
      <c r="Z583" s="3"/>
      <c r="AA583" s="6"/>
      <c r="AB583" s="6"/>
      <c r="AC583" s="3"/>
    </row>
    <row r="584" spans="1:29" ht="15.75" customHeight="1" x14ac:dyDescent="0.2">
      <c r="A584" s="2"/>
      <c r="B584" s="2"/>
      <c r="C584" s="2"/>
      <c r="D584" s="14"/>
      <c r="E584" s="6"/>
      <c r="F584" s="3"/>
      <c r="G584" s="6"/>
      <c r="H584" s="6"/>
      <c r="I584" s="3"/>
      <c r="J584" s="6"/>
      <c r="K584" s="3"/>
      <c r="L584" s="6"/>
      <c r="M584" s="6"/>
      <c r="N584" s="3"/>
      <c r="O584" s="6"/>
      <c r="P584" s="3"/>
      <c r="Q584" s="6"/>
      <c r="R584" s="6"/>
      <c r="S584" s="3"/>
      <c r="T584" s="6"/>
      <c r="U584" s="3"/>
      <c r="V584" s="6"/>
      <c r="W584" s="6"/>
      <c r="X584" s="3"/>
      <c r="Y584" s="6"/>
      <c r="Z584" s="3"/>
      <c r="AA584" s="6"/>
      <c r="AB584" s="6"/>
      <c r="AC584" s="3"/>
    </row>
    <row r="585" spans="1:29" ht="15.75" customHeight="1" x14ac:dyDescent="0.2">
      <c r="A585" s="2"/>
      <c r="B585" s="2"/>
      <c r="C585" s="2"/>
      <c r="D585" s="14"/>
      <c r="E585" s="6"/>
      <c r="F585" s="3"/>
      <c r="G585" s="6"/>
      <c r="H585" s="6"/>
      <c r="I585" s="3"/>
      <c r="J585" s="6"/>
      <c r="K585" s="3"/>
      <c r="L585" s="6"/>
      <c r="M585" s="6"/>
      <c r="N585" s="3"/>
      <c r="O585" s="6"/>
      <c r="P585" s="3"/>
      <c r="Q585" s="6"/>
      <c r="R585" s="6"/>
      <c r="S585" s="3"/>
      <c r="T585" s="6"/>
      <c r="U585" s="3"/>
      <c r="V585" s="6"/>
      <c r="W585" s="6"/>
      <c r="X585" s="3"/>
      <c r="Y585" s="6"/>
      <c r="Z585" s="3"/>
      <c r="AA585" s="6"/>
      <c r="AB585" s="6"/>
      <c r="AC585" s="3"/>
    </row>
    <row r="586" spans="1:29" ht="15.75" customHeight="1" x14ac:dyDescent="0.2">
      <c r="A586" s="2"/>
      <c r="B586" s="2"/>
      <c r="C586" s="2"/>
      <c r="D586" s="14"/>
      <c r="E586" s="6"/>
      <c r="F586" s="3"/>
      <c r="G586" s="6"/>
      <c r="H586" s="6"/>
      <c r="I586" s="3"/>
      <c r="J586" s="6"/>
      <c r="K586" s="3"/>
      <c r="L586" s="6"/>
      <c r="M586" s="6"/>
      <c r="N586" s="3"/>
      <c r="O586" s="6"/>
      <c r="P586" s="3"/>
      <c r="Q586" s="6"/>
      <c r="R586" s="6"/>
      <c r="S586" s="3"/>
      <c r="T586" s="6"/>
      <c r="U586" s="3"/>
      <c r="V586" s="6"/>
      <c r="W586" s="6"/>
      <c r="X586" s="3"/>
      <c r="Y586" s="6"/>
      <c r="Z586" s="3"/>
      <c r="AA586" s="6"/>
      <c r="AB586" s="6"/>
      <c r="AC586" s="3"/>
    </row>
    <row r="587" spans="1:29" ht="15.75" customHeight="1" x14ac:dyDescent="0.2">
      <c r="A587" s="2"/>
      <c r="B587" s="2"/>
      <c r="C587" s="2"/>
      <c r="D587" s="14"/>
      <c r="E587" s="6"/>
      <c r="F587" s="3"/>
      <c r="G587" s="6"/>
      <c r="H587" s="6"/>
      <c r="I587" s="3"/>
      <c r="J587" s="6"/>
      <c r="K587" s="3"/>
      <c r="L587" s="6"/>
      <c r="M587" s="6"/>
      <c r="N587" s="3"/>
      <c r="O587" s="6"/>
      <c r="P587" s="3"/>
      <c r="Q587" s="6"/>
      <c r="R587" s="6"/>
      <c r="S587" s="3"/>
      <c r="T587" s="6"/>
      <c r="U587" s="3"/>
      <c r="V587" s="6"/>
      <c r="W587" s="6"/>
      <c r="X587" s="3"/>
      <c r="Y587" s="6"/>
      <c r="Z587" s="3"/>
      <c r="AA587" s="6"/>
      <c r="AB587" s="6"/>
      <c r="AC587" s="3"/>
    </row>
    <row r="588" spans="1:29" ht="15.75" customHeight="1" x14ac:dyDescent="0.2">
      <c r="A588" s="2"/>
      <c r="B588" s="2"/>
      <c r="C588" s="2"/>
      <c r="D588" s="14"/>
      <c r="E588" s="6"/>
      <c r="F588" s="3"/>
      <c r="G588" s="6"/>
      <c r="H588" s="6"/>
      <c r="I588" s="3"/>
      <c r="J588" s="6"/>
      <c r="K588" s="3"/>
      <c r="L588" s="6"/>
      <c r="M588" s="6"/>
      <c r="N588" s="3"/>
      <c r="O588" s="6"/>
      <c r="P588" s="3"/>
      <c r="Q588" s="6"/>
      <c r="R588" s="6"/>
      <c r="S588" s="3"/>
      <c r="T588" s="6"/>
      <c r="U588" s="3"/>
      <c r="V588" s="6"/>
      <c r="W588" s="6"/>
      <c r="X588" s="3"/>
      <c r="Y588" s="6"/>
      <c r="Z588" s="3"/>
      <c r="AA588" s="6"/>
      <c r="AB588" s="6"/>
      <c r="AC588" s="3"/>
    </row>
    <row r="589" spans="1:29" ht="15.75" customHeight="1" x14ac:dyDescent="0.2">
      <c r="A589" s="2"/>
      <c r="B589" s="2"/>
      <c r="C589" s="2"/>
      <c r="D589" s="14"/>
      <c r="E589" s="6"/>
      <c r="F589" s="3"/>
      <c r="G589" s="6"/>
      <c r="H589" s="6"/>
      <c r="I589" s="3"/>
      <c r="J589" s="6"/>
      <c r="K589" s="3"/>
      <c r="L589" s="6"/>
      <c r="M589" s="6"/>
      <c r="N589" s="3"/>
      <c r="O589" s="6"/>
      <c r="P589" s="3"/>
      <c r="Q589" s="6"/>
      <c r="R589" s="6"/>
      <c r="S589" s="3"/>
      <c r="T589" s="6"/>
      <c r="U589" s="3"/>
      <c r="V589" s="6"/>
      <c r="W589" s="6"/>
      <c r="X589" s="3"/>
      <c r="Y589" s="6"/>
      <c r="Z589" s="3"/>
      <c r="AA589" s="6"/>
      <c r="AB589" s="6"/>
      <c r="AC589" s="3"/>
    </row>
    <row r="590" spans="1:29" ht="15.75" customHeight="1" x14ac:dyDescent="0.2">
      <c r="A590" s="2"/>
      <c r="B590" s="2"/>
      <c r="C590" s="2"/>
      <c r="D590" s="14"/>
      <c r="E590" s="6"/>
      <c r="F590" s="3"/>
      <c r="G590" s="6"/>
      <c r="H590" s="6"/>
      <c r="I590" s="3"/>
      <c r="J590" s="6"/>
      <c r="K590" s="3"/>
      <c r="L590" s="6"/>
      <c r="M590" s="6"/>
      <c r="N590" s="3"/>
      <c r="O590" s="6"/>
      <c r="P590" s="3"/>
      <c r="Q590" s="6"/>
      <c r="R590" s="6"/>
      <c r="S590" s="3"/>
      <c r="T590" s="6"/>
      <c r="U590" s="3"/>
      <c r="V590" s="6"/>
      <c r="W590" s="6"/>
      <c r="X590" s="3"/>
      <c r="Y590" s="6"/>
      <c r="Z590" s="3"/>
      <c r="AA590" s="6"/>
      <c r="AB590" s="6"/>
      <c r="AC590" s="3"/>
    </row>
    <row r="591" spans="1:29" ht="15.75" customHeight="1" x14ac:dyDescent="0.2">
      <c r="A591" s="2"/>
      <c r="B591" s="2"/>
      <c r="C591" s="2"/>
      <c r="D591" s="14"/>
      <c r="E591" s="6"/>
      <c r="F591" s="3"/>
      <c r="G591" s="6"/>
      <c r="H591" s="6"/>
      <c r="I591" s="3"/>
      <c r="J591" s="6"/>
      <c r="K591" s="3"/>
      <c r="L591" s="6"/>
      <c r="M591" s="6"/>
      <c r="N591" s="3"/>
      <c r="O591" s="6"/>
      <c r="P591" s="3"/>
      <c r="Q591" s="6"/>
      <c r="R591" s="6"/>
      <c r="S591" s="3"/>
      <c r="T591" s="6"/>
      <c r="U591" s="3"/>
      <c r="V591" s="6"/>
      <c r="W591" s="6"/>
      <c r="X591" s="3"/>
      <c r="Y591" s="6"/>
      <c r="Z591" s="3"/>
      <c r="AA591" s="6"/>
      <c r="AB591" s="6"/>
      <c r="AC591" s="3"/>
    </row>
    <row r="592" spans="1:29" ht="15.75" customHeight="1" x14ac:dyDescent="0.2">
      <c r="A592" s="2"/>
      <c r="B592" s="2"/>
      <c r="C592" s="2"/>
      <c r="D592" s="14"/>
      <c r="E592" s="6"/>
      <c r="F592" s="3"/>
      <c r="G592" s="6"/>
      <c r="H592" s="6"/>
      <c r="I592" s="3"/>
      <c r="J592" s="6"/>
      <c r="K592" s="3"/>
      <c r="L592" s="6"/>
      <c r="M592" s="6"/>
      <c r="N592" s="3"/>
      <c r="O592" s="6"/>
      <c r="P592" s="3"/>
      <c r="Q592" s="6"/>
      <c r="R592" s="6"/>
      <c r="S592" s="3"/>
      <c r="T592" s="6"/>
      <c r="U592" s="3"/>
      <c r="V592" s="6"/>
      <c r="W592" s="6"/>
      <c r="X592" s="3"/>
      <c r="Y592" s="6"/>
      <c r="Z592" s="3"/>
      <c r="AA592" s="6"/>
      <c r="AB592" s="6"/>
      <c r="AC592" s="3"/>
    </row>
    <row r="593" spans="1:29" ht="15.75" customHeight="1" x14ac:dyDescent="0.2">
      <c r="A593" s="2"/>
      <c r="B593" s="2"/>
      <c r="C593" s="2"/>
      <c r="D593" s="14"/>
      <c r="E593" s="6"/>
      <c r="F593" s="3"/>
      <c r="G593" s="6"/>
      <c r="H593" s="6"/>
      <c r="I593" s="3"/>
      <c r="J593" s="6"/>
      <c r="K593" s="3"/>
      <c r="L593" s="6"/>
      <c r="M593" s="6"/>
      <c r="N593" s="3"/>
      <c r="O593" s="6"/>
      <c r="P593" s="3"/>
      <c r="Q593" s="6"/>
      <c r="R593" s="6"/>
      <c r="S593" s="3"/>
      <c r="T593" s="6"/>
      <c r="U593" s="3"/>
      <c r="V593" s="6"/>
      <c r="W593" s="6"/>
      <c r="X593" s="3"/>
      <c r="Y593" s="6"/>
      <c r="Z593" s="3"/>
      <c r="AA593" s="6"/>
      <c r="AB593" s="6"/>
      <c r="AC593" s="3"/>
    </row>
    <row r="594" spans="1:29" ht="15.75" customHeight="1" x14ac:dyDescent="0.2">
      <c r="A594" s="2"/>
      <c r="B594" s="2"/>
      <c r="C594" s="2"/>
      <c r="D594" s="14"/>
      <c r="E594" s="6"/>
      <c r="F594" s="3"/>
      <c r="G594" s="6"/>
      <c r="H594" s="6"/>
      <c r="I594" s="3"/>
      <c r="J594" s="6"/>
      <c r="K594" s="3"/>
      <c r="L594" s="6"/>
      <c r="M594" s="6"/>
      <c r="N594" s="3"/>
      <c r="O594" s="6"/>
      <c r="P594" s="3"/>
      <c r="Q594" s="6"/>
      <c r="R594" s="6"/>
      <c r="S594" s="3"/>
      <c r="T594" s="6"/>
      <c r="U594" s="3"/>
      <c r="V594" s="6"/>
      <c r="W594" s="6"/>
      <c r="X594" s="3"/>
      <c r="Y594" s="6"/>
      <c r="Z594" s="3"/>
      <c r="AA594" s="6"/>
      <c r="AB594" s="6"/>
      <c r="AC594" s="3"/>
    </row>
    <row r="595" spans="1:29" ht="15.75" customHeight="1" x14ac:dyDescent="0.2">
      <c r="A595" s="2"/>
      <c r="B595" s="2"/>
      <c r="C595" s="2"/>
      <c r="D595" s="14"/>
      <c r="E595" s="6"/>
      <c r="F595" s="3"/>
      <c r="G595" s="6"/>
      <c r="H595" s="6"/>
      <c r="I595" s="3"/>
      <c r="J595" s="6"/>
      <c r="K595" s="3"/>
      <c r="L595" s="6"/>
      <c r="M595" s="6"/>
      <c r="N595" s="3"/>
      <c r="O595" s="6"/>
      <c r="P595" s="3"/>
      <c r="Q595" s="6"/>
      <c r="R595" s="6"/>
      <c r="S595" s="3"/>
      <c r="T595" s="6"/>
      <c r="U595" s="3"/>
      <c r="V595" s="6"/>
      <c r="W595" s="6"/>
      <c r="X595" s="3"/>
      <c r="Y595" s="6"/>
      <c r="Z595" s="3"/>
      <c r="AA595" s="6"/>
      <c r="AB595" s="6"/>
      <c r="AC595" s="3"/>
    </row>
    <row r="596" spans="1:29" ht="15.75" customHeight="1" x14ac:dyDescent="0.2">
      <c r="A596" s="2"/>
      <c r="B596" s="2"/>
      <c r="C596" s="2"/>
      <c r="D596" s="14"/>
      <c r="E596" s="6"/>
      <c r="F596" s="3"/>
      <c r="G596" s="6"/>
      <c r="H596" s="6"/>
      <c r="I596" s="3"/>
      <c r="J596" s="6"/>
      <c r="K596" s="3"/>
      <c r="L596" s="6"/>
      <c r="M596" s="6"/>
      <c r="N596" s="3"/>
      <c r="O596" s="6"/>
      <c r="P596" s="3"/>
      <c r="Q596" s="6"/>
      <c r="R596" s="6"/>
      <c r="S596" s="3"/>
      <c r="T596" s="6"/>
      <c r="U596" s="3"/>
      <c r="V596" s="6"/>
      <c r="W596" s="6"/>
      <c r="X596" s="3"/>
      <c r="Y596" s="6"/>
      <c r="Z596" s="3"/>
      <c r="AA596" s="6"/>
      <c r="AB596" s="6"/>
      <c r="AC596" s="3"/>
    </row>
    <row r="597" spans="1:29" ht="15.75" customHeight="1" x14ac:dyDescent="0.2">
      <c r="A597" s="2"/>
      <c r="B597" s="2"/>
      <c r="C597" s="2"/>
      <c r="D597" s="14"/>
      <c r="E597" s="6"/>
      <c r="F597" s="3"/>
      <c r="G597" s="6"/>
      <c r="H597" s="6"/>
      <c r="I597" s="3"/>
      <c r="J597" s="6"/>
      <c r="K597" s="3"/>
      <c r="L597" s="6"/>
      <c r="M597" s="6"/>
      <c r="N597" s="3"/>
      <c r="O597" s="6"/>
      <c r="P597" s="3"/>
      <c r="Q597" s="6"/>
      <c r="R597" s="6"/>
      <c r="S597" s="3"/>
      <c r="T597" s="6"/>
      <c r="U597" s="3"/>
      <c r="V597" s="6"/>
      <c r="W597" s="6"/>
      <c r="X597" s="3"/>
      <c r="Y597" s="6"/>
      <c r="Z597" s="3"/>
      <c r="AA597" s="6"/>
      <c r="AB597" s="6"/>
      <c r="AC597" s="3"/>
    </row>
    <row r="598" spans="1:29" ht="15.75" customHeight="1" x14ac:dyDescent="0.2">
      <c r="A598" s="2"/>
      <c r="B598" s="2"/>
      <c r="C598" s="2"/>
      <c r="D598" s="14"/>
      <c r="E598" s="6"/>
      <c r="F598" s="3"/>
      <c r="G598" s="6"/>
      <c r="H598" s="6"/>
      <c r="I598" s="3"/>
      <c r="J598" s="6"/>
      <c r="K598" s="3"/>
      <c r="L598" s="6"/>
      <c r="M598" s="6"/>
      <c r="N598" s="3"/>
      <c r="O598" s="6"/>
      <c r="P598" s="3"/>
      <c r="Q598" s="6"/>
      <c r="R598" s="6"/>
      <c r="S598" s="3"/>
      <c r="T598" s="6"/>
      <c r="U598" s="3"/>
      <c r="V598" s="6"/>
      <c r="W598" s="6"/>
      <c r="X598" s="3"/>
      <c r="Y598" s="6"/>
      <c r="Z598" s="3"/>
      <c r="AA598" s="6"/>
      <c r="AB598" s="6"/>
      <c r="AC598" s="3"/>
    </row>
    <row r="599" spans="1:29" ht="15.75" customHeight="1" x14ac:dyDescent="0.2">
      <c r="A599" s="2"/>
      <c r="B599" s="2"/>
      <c r="C599" s="2"/>
      <c r="D599" s="14"/>
      <c r="E599" s="6"/>
      <c r="F599" s="3"/>
      <c r="G599" s="6"/>
      <c r="H599" s="6"/>
      <c r="I599" s="3"/>
      <c r="J599" s="6"/>
      <c r="K599" s="3"/>
      <c r="L599" s="6"/>
      <c r="M599" s="6"/>
      <c r="N599" s="3"/>
      <c r="O599" s="6"/>
      <c r="P599" s="3"/>
      <c r="Q599" s="6"/>
      <c r="R599" s="6"/>
      <c r="S599" s="3"/>
      <c r="T599" s="6"/>
      <c r="U599" s="3"/>
      <c r="V599" s="6"/>
      <c r="W599" s="6"/>
      <c r="X599" s="3"/>
      <c r="Y599" s="6"/>
      <c r="Z599" s="3"/>
      <c r="AA599" s="6"/>
      <c r="AB599" s="6"/>
      <c r="AC599" s="3"/>
    </row>
    <row r="600" spans="1:29" ht="15.75" customHeight="1" x14ac:dyDescent="0.2">
      <c r="A600" s="2"/>
      <c r="B600" s="2"/>
      <c r="C600" s="2"/>
      <c r="D600" s="14"/>
      <c r="E600" s="6"/>
      <c r="F600" s="3"/>
      <c r="G600" s="6"/>
      <c r="H600" s="6"/>
      <c r="I600" s="3"/>
      <c r="J600" s="6"/>
      <c r="K600" s="3"/>
      <c r="L600" s="6"/>
      <c r="M600" s="6"/>
      <c r="N600" s="3"/>
      <c r="O600" s="6"/>
      <c r="P600" s="3"/>
      <c r="Q600" s="6"/>
      <c r="R600" s="6"/>
      <c r="S600" s="3"/>
      <c r="T600" s="6"/>
      <c r="U600" s="3"/>
      <c r="V600" s="6"/>
      <c r="W600" s="6"/>
      <c r="X600" s="3"/>
      <c r="Y600" s="6"/>
      <c r="Z600" s="3"/>
      <c r="AA600" s="6"/>
      <c r="AB600" s="6"/>
      <c r="AC600" s="3"/>
    </row>
    <row r="601" spans="1:29" ht="15.75" customHeight="1" x14ac:dyDescent="0.2">
      <c r="A601" s="2"/>
      <c r="B601" s="2"/>
      <c r="C601" s="2"/>
      <c r="D601" s="14"/>
      <c r="E601" s="6"/>
      <c r="F601" s="3"/>
      <c r="G601" s="6"/>
      <c r="H601" s="6"/>
      <c r="I601" s="3"/>
      <c r="J601" s="6"/>
      <c r="K601" s="3"/>
      <c r="L601" s="6"/>
      <c r="M601" s="6"/>
      <c r="N601" s="3"/>
      <c r="O601" s="6"/>
      <c r="P601" s="3"/>
      <c r="Q601" s="6"/>
      <c r="R601" s="6"/>
      <c r="S601" s="3"/>
      <c r="T601" s="6"/>
      <c r="U601" s="3"/>
      <c r="V601" s="6"/>
      <c r="W601" s="6"/>
      <c r="X601" s="3"/>
      <c r="Y601" s="6"/>
      <c r="Z601" s="3"/>
      <c r="AA601" s="6"/>
      <c r="AB601" s="6"/>
      <c r="AC601" s="3"/>
    </row>
    <row r="602" spans="1:29" ht="15.75" customHeight="1" x14ac:dyDescent="0.2">
      <c r="A602" s="2"/>
      <c r="B602" s="2"/>
      <c r="C602" s="2"/>
      <c r="D602" s="14"/>
      <c r="E602" s="6"/>
      <c r="F602" s="3"/>
      <c r="G602" s="6"/>
      <c r="H602" s="6"/>
      <c r="I602" s="3"/>
      <c r="J602" s="6"/>
      <c r="K602" s="3"/>
      <c r="L602" s="6"/>
      <c r="M602" s="6"/>
      <c r="N602" s="3"/>
      <c r="O602" s="6"/>
      <c r="P602" s="3"/>
      <c r="Q602" s="6"/>
      <c r="R602" s="6"/>
      <c r="S602" s="3"/>
      <c r="T602" s="6"/>
      <c r="U602" s="3"/>
      <c r="V602" s="6"/>
      <c r="W602" s="6"/>
      <c r="X602" s="3"/>
      <c r="Y602" s="6"/>
      <c r="Z602" s="3"/>
      <c r="AA602" s="6"/>
      <c r="AB602" s="6"/>
      <c r="AC602" s="3"/>
    </row>
    <row r="603" spans="1:29" ht="15.75" customHeight="1" x14ac:dyDescent="0.2">
      <c r="A603" s="2"/>
      <c r="B603" s="2"/>
      <c r="C603" s="2"/>
      <c r="D603" s="14"/>
      <c r="E603" s="6"/>
      <c r="F603" s="3"/>
      <c r="G603" s="6"/>
      <c r="H603" s="6"/>
      <c r="I603" s="3"/>
      <c r="J603" s="6"/>
      <c r="K603" s="3"/>
      <c r="L603" s="6"/>
      <c r="M603" s="6"/>
      <c r="N603" s="3"/>
      <c r="O603" s="6"/>
      <c r="P603" s="3"/>
      <c r="Q603" s="6"/>
      <c r="R603" s="6"/>
      <c r="S603" s="3"/>
      <c r="T603" s="6"/>
      <c r="U603" s="3"/>
      <c r="V603" s="6"/>
      <c r="W603" s="6"/>
      <c r="X603" s="3"/>
      <c r="Y603" s="6"/>
      <c r="Z603" s="3"/>
      <c r="AA603" s="6"/>
      <c r="AB603" s="6"/>
      <c r="AC603" s="3"/>
    </row>
    <row r="604" spans="1:29" ht="15.75" customHeight="1" x14ac:dyDescent="0.2">
      <c r="A604" s="2"/>
      <c r="B604" s="2"/>
      <c r="C604" s="2"/>
      <c r="D604" s="14"/>
      <c r="E604" s="6"/>
      <c r="F604" s="3"/>
      <c r="G604" s="6"/>
      <c r="H604" s="6"/>
      <c r="I604" s="3"/>
      <c r="J604" s="6"/>
      <c r="K604" s="3"/>
      <c r="L604" s="6"/>
      <c r="M604" s="6"/>
      <c r="N604" s="3"/>
      <c r="O604" s="6"/>
      <c r="P604" s="3"/>
      <c r="Q604" s="6"/>
      <c r="R604" s="6"/>
      <c r="S604" s="3"/>
      <c r="T604" s="6"/>
      <c r="U604" s="3"/>
      <c r="V604" s="6"/>
      <c r="W604" s="6"/>
      <c r="X604" s="3"/>
      <c r="Y604" s="6"/>
      <c r="Z604" s="3"/>
      <c r="AA604" s="6"/>
      <c r="AB604" s="6"/>
      <c r="AC604" s="3"/>
    </row>
    <row r="605" spans="1:29" ht="15.75" customHeight="1" x14ac:dyDescent="0.2">
      <c r="A605" s="2"/>
      <c r="B605" s="2"/>
      <c r="C605" s="2"/>
      <c r="D605" s="14"/>
      <c r="E605" s="6"/>
      <c r="F605" s="3"/>
      <c r="G605" s="6"/>
      <c r="H605" s="6"/>
      <c r="I605" s="3"/>
      <c r="J605" s="6"/>
      <c r="K605" s="3"/>
      <c r="L605" s="6"/>
      <c r="M605" s="6"/>
      <c r="N605" s="3"/>
      <c r="O605" s="6"/>
      <c r="P605" s="3"/>
      <c r="Q605" s="6"/>
      <c r="R605" s="6"/>
      <c r="S605" s="3"/>
      <c r="T605" s="6"/>
      <c r="U605" s="3"/>
      <c r="V605" s="6"/>
      <c r="W605" s="6"/>
      <c r="X605" s="3"/>
      <c r="Y605" s="6"/>
      <c r="Z605" s="3"/>
      <c r="AA605" s="6"/>
      <c r="AB605" s="6"/>
      <c r="AC605" s="3"/>
    </row>
    <row r="606" spans="1:29" ht="15.75" customHeight="1" x14ac:dyDescent="0.2">
      <c r="A606" s="2"/>
      <c r="B606" s="2"/>
      <c r="C606" s="2"/>
      <c r="D606" s="14"/>
      <c r="E606" s="6"/>
      <c r="F606" s="3"/>
      <c r="G606" s="6"/>
      <c r="H606" s="6"/>
      <c r="I606" s="3"/>
      <c r="J606" s="6"/>
      <c r="K606" s="3"/>
      <c r="L606" s="6"/>
      <c r="M606" s="6"/>
      <c r="N606" s="3"/>
      <c r="O606" s="6"/>
      <c r="P606" s="3"/>
      <c r="Q606" s="6"/>
      <c r="R606" s="6"/>
      <c r="S606" s="3"/>
      <c r="T606" s="6"/>
      <c r="U606" s="3"/>
      <c r="V606" s="6"/>
      <c r="W606" s="6"/>
      <c r="X606" s="3"/>
      <c r="Y606" s="6"/>
      <c r="Z606" s="3"/>
      <c r="AA606" s="6"/>
      <c r="AB606" s="6"/>
      <c r="AC606" s="3"/>
    </row>
    <row r="607" spans="1:29" ht="15.75" customHeight="1" x14ac:dyDescent="0.2">
      <c r="A607" s="2"/>
      <c r="B607" s="2"/>
      <c r="C607" s="2"/>
      <c r="D607" s="14"/>
      <c r="E607" s="6"/>
      <c r="F607" s="3"/>
      <c r="G607" s="6"/>
      <c r="H607" s="6"/>
      <c r="I607" s="3"/>
      <c r="J607" s="6"/>
      <c r="K607" s="3"/>
      <c r="L607" s="6"/>
      <c r="M607" s="6"/>
      <c r="N607" s="3"/>
      <c r="O607" s="6"/>
      <c r="P607" s="3"/>
      <c r="Q607" s="6"/>
      <c r="R607" s="6"/>
      <c r="S607" s="3"/>
      <c r="T607" s="6"/>
      <c r="U607" s="3"/>
      <c r="V607" s="6"/>
      <c r="W607" s="6"/>
      <c r="X607" s="3"/>
      <c r="Y607" s="6"/>
      <c r="Z607" s="3"/>
      <c r="AA607" s="6"/>
      <c r="AB607" s="6"/>
      <c r="AC607" s="3"/>
    </row>
    <row r="608" spans="1:29" ht="15.75" customHeight="1" x14ac:dyDescent="0.2">
      <c r="A608" s="2"/>
      <c r="B608" s="2"/>
      <c r="C608" s="2"/>
      <c r="D608" s="14"/>
      <c r="E608" s="6"/>
      <c r="F608" s="3"/>
      <c r="G608" s="6"/>
      <c r="H608" s="6"/>
      <c r="I608" s="3"/>
      <c r="J608" s="6"/>
      <c r="K608" s="3"/>
      <c r="L608" s="6"/>
      <c r="M608" s="6"/>
      <c r="N608" s="3"/>
      <c r="O608" s="6"/>
      <c r="P608" s="3"/>
      <c r="Q608" s="6"/>
      <c r="R608" s="6"/>
      <c r="S608" s="3"/>
      <c r="T608" s="6"/>
      <c r="U608" s="3"/>
      <c r="V608" s="6"/>
      <c r="W608" s="6"/>
      <c r="X608" s="3"/>
      <c r="Y608" s="6"/>
      <c r="Z608" s="3"/>
      <c r="AA608" s="6"/>
      <c r="AB608" s="6"/>
      <c r="AC608" s="3"/>
    </row>
    <row r="609" spans="1:29" ht="15.75" customHeight="1" x14ac:dyDescent="0.2">
      <c r="A609" s="2"/>
      <c r="B609" s="2"/>
      <c r="C609" s="2"/>
      <c r="D609" s="14"/>
      <c r="E609" s="6"/>
      <c r="F609" s="3"/>
      <c r="G609" s="6"/>
      <c r="H609" s="6"/>
      <c r="I609" s="3"/>
      <c r="J609" s="6"/>
      <c r="K609" s="3"/>
      <c r="L609" s="6"/>
      <c r="M609" s="6"/>
      <c r="N609" s="3"/>
      <c r="O609" s="6"/>
      <c r="P609" s="3"/>
      <c r="Q609" s="6"/>
      <c r="R609" s="6"/>
      <c r="S609" s="3"/>
      <c r="T609" s="6"/>
      <c r="U609" s="3"/>
      <c r="V609" s="6"/>
      <c r="W609" s="6"/>
      <c r="X609" s="3"/>
      <c r="Y609" s="6"/>
      <c r="Z609" s="3"/>
      <c r="AA609" s="6"/>
      <c r="AB609" s="6"/>
      <c r="AC609" s="3"/>
    </row>
    <row r="610" spans="1:29" ht="15.75" customHeight="1" x14ac:dyDescent="0.2">
      <c r="A610" s="2"/>
      <c r="B610" s="2"/>
      <c r="C610" s="2"/>
      <c r="D610" s="14"/>
      <c r="E610" s="6"/>
      <c r="F610" s="3"/>
      <c r="G610" s="6"/>
      <c r="H610" s="6"/>
      <c r="I610" s="3"/>
      <c r="J610" s="6"/>
      <c r="K610" s="3"/>
      <c r="L610" s="6"/>
      <c r="M610" s="6"/>
      <c r="N610" s="3"/>
      <c r="O610" s="6"/>
      <c r="P610" s="3"/>
      <c r="Q610" s="6"/>
      <c r="R610" s="6"/>
      <c r="S610" s="3"/>
      <c r="T610" s="6"/>
      <c r="U610" s="3"/>
      <c r="V610" s="6"/>
      <c r="W610" s="6"/>
      <c r="X610" s="3"/>
      <c r="Y610" s="6"/>
      <c r="Z610" s="3"/>
      <c r="AA610" s="6"/>
      <c r="AB610" s="6"/>
      <c r="AC610" s="3"/>
    </row>
    <row r="611" spans="1:29" ht="15.75" customHeight="1" x14ac:dyDescent="0.2">
      <c r="A611" s="2"/>
      <c r="B611" s="2"/>
      <c r="C611" s="2"/>
      <c r="D611" s="14"/>
      <c r="E611" s="6"/>
      <c r="F611" s="3"/>
      <c r="G611" s="6"/>
      <c r="H611" s="6"/>
      <c r="I611" s="3"/>
      <c r="J611" s="6"/>
      <c r="K611" s="3"/>
      <c r="L611" s="6"/>
      <c r="M611" s="6"/>
      <c r="N611" s="3"/>
      <c r="O611" s="6"/>
      <c r="P611" s="3"/>
      <c r="Q611" s="6"/>
      <c r="R611" s="6"/>
      <c r="S611" s="3"/>
      <c r="T611" s="6"/>
      <c r="U611" s="3"/>
      <c r="V611" s="6"/>
      <c r="W611" s="6"/>
      <c r="X611" s="3"/>
      <c r="Y611" s="6"/>
      <c r="Z611" s="3"/>
      <c r="AA611" s="6"/>
      <c r="AB611" s="6"/>
      <c r="AC611" s="3"/>
    </row>
    <row r="612" spans="1:29" ht="15.75" customHeight="1" x14ac:dyDescent="0.2">
      <c r="A612" s="2"/>
      <c r="B612" s="2"/>
      <c r="C612" s="2"/>
      <c r="D612" s="14"/>
      <c r="E612" s="6"/>
      <c r="F612" s="3"/>
      <c r="G612" s="6"/>
      <c r="H612" s="6"/>
      <c r="I612" s="3"/>
      <c r="J612" s="6"/>
      <c r="K612" s="3"/>
      <c r="L612" s="6"/>
      <c r="M612" s="6"/>
      <c r="N612" s="3"/>
      <c r="O612" s="6"/>
      <c r="P612" s="3"/>
      <c r="Q612" s="6"/>
      <c r="R612" s="6"/>
      <c r="S612" s="3"/>
      <c r="T612" s="6"/>
      <c r="U612" s="3"/>
      <c r="V612" s="6"/>
      <c r="W612" s="6"/>
      <c r="X612" s="3"/>
      <c r="Y612" s="6"/>
      <c r="Z612" s="3"/>
      <c r="AA612" s="6"/>
      <c r="AB612" s="6"/>
      <c r="AC612" s="3"/>
    </row>
    <row r="613" spans="1:29" ht="15.75" customHeight="1" x14ac:dyDescent="0.2">
      <c r="A613" s="2"/>
      <c r="B613" s="2"/>
      <c r="C613" s="2"/>
      <c r="D613" s="14"/>
      <c r="E613" s="6"/>
      <c r="F613" s="3"/>
      <c r="G613" s="6"/>
      <c r="H613" s="6"/>
      <c r="I613" s="3"/>
      <c r="J613" s="6"/>
      <c r="K613" s="3"/>
      <c r="L613" s="6"/>
      <c r="M613" s="6"/>
      <c r="N613" s="3"/>
      <c r="O613" s="6"/>
      <c r="P613" s="3"/>
      <c r="Q613" s="6"/>
      <c r="R613" s="6"/>
      <c r="S613" s="3"/>
      <c r="T613" s="6"/>
      <c r="U613" s="3"/>
      <c r="V613" s="6"/>
      <c r="W613" s="6"/>
      <c r="X613" s="3"/>
      <c r="Y613" s="6"/>
      <c r="Z613" s="3"/>
      <c r="AA613" s="6"/>
      <c r="AB613" s="6"/>
      <c r="AC613" s="3"/>
    </row>
    <row r="614" spans="1:29" ht="15.75" customHeight="1" x14ac:dyDescent="0.2">
      <c r="A614" s="2"/>
      <c r="B614" s="2"/>
      <c r="C614" s="2"/>
      <c r="D614" s="14"/>
      <c r="E614" s="6"/>
      <c r="F614" s="3"/>
      <c r="G614" s="6"/>
      <c r="H614" s="6"/>
      <c r="I614" s="3"/>
      <c r="J614" s="6"/>
      <c r="K614" s="3"/>
      <c r="L614" s="6"/>
      <c r="M614" s="6"/>
      <c r="N614" s="3"/>
      <c r="O614" s="6"/>
      <c r="P614" s="3"/>
      <c r="Q614" s="6"/>
      <c r="R614" s="6"/>
      <c r="S614" s="3"/>
      <c r="T614" s="6"/>
      <c r="U614" s="3"/>
      <c r="V614" s="6"/>
      <c r="W614" s="6"/>
      <c r="X614" s="3"/>
      <c r="Y614" s="6"/>
      <c r="Z614" s="3"/>
      <c r="AA614" s="6"/>
      <c r="AB614" s="6"/>
      <c r="AC614" s="3"/>
    </row>
    <row r="615" spans="1:29" ht="15.75" customHeight="1" x14ac:dyDescent="0.2">
      <c r="A615" s="2"/>
      <c r="B615" s="2"/>
      <c r="C615" s="2"/>
      <c r="D615" s="14"/>
      <c r="E615" s="6"/>
      <c r="F615" s="3"/>
      <c r="G615" s="6"/>
      <c r="H615" s="6"/>
      <c r="I615" s="3"/>
      <c r="J615" s="6"/>
      <c r="K615" s="3"/>
      <c r="L615" s="6"/>
      <c r="M615" s="6"/>
      <c r="N615" s="3"/>
      <c r="O615" s="6"/>
      <c r="P615" s="3"/>
      <c r="Q615" s="6"/>
      <c r="R615" s="6"/>
      <c r="S615" s="3"/>
      <c r="T615" s="6"/>
      <c r="U615" s="3"/>
      <c r="V615" s="6"/>
      <c r="W615" s="6"/>
      <c r="X615" s="3"/>
      <c r="Y615" s="6"/>
      <c r="Z615" s="3"/>
      <c r="AA615" s="6"/>
      <c r="AB615" s="6"/>
      <c r="AC615" s="3"/>
    </row>
    <row r="616" spans="1:29" ht="15.75" customHeight="1" x14ac:dyDescent="0.2">
      <c r="A616" s="2"/>
      <c r="B616" s="2"/>
      <c r="C616" s="2"/>
      <c r="D616" s="14"/>
      <c r="E616" s="6"/>
      <c r="F616" s="3"/>
      <c r="G616" s="6"/>
      <c r="H616" s="6"/>
      <c r="I616" s="3"/>
      <c r="J616" s="6"/>
      <c r="K616" s="3"/>
      <c r="L616" s="6"/>
      <c r="M616" s="6"/>
      <c r="N616" s="3"/>
      <c r="O616" s="6"/>
      <c r="P616" s="3"/>
      <c r="Q616" s="6"/>
      <c r="R616" s="6"/>
      <c r="S616" s="3"/>
      <c r="T616" s="6"/>
      <c r="U616" s="3"/>
      <c r="V616" s="6"/>
      <c r="W616" s="6"/>
      <c r="X616" s="3"/>
      <c r="Y616" s="6"/>
      <c r="Z616" s="3"/>
      <c r="AA616" s="6"/>
      <c r="AB616" s="6"/>
      <c r="AC616" s="3"/>
    </row>
    <row r="617" spans="1:29" ht="15.75" customHeight="1" x14ac:dyDescent="0.2">
      <c r="A617" s="2"/>
      <c r="B617" s="2"/>
      <c r="C617" s="2"/>
      <c r="D617" s="14"/>
      <c r="E617" s="6"/>
      <c r="F617" s="3"/>
      <c r="G617" s="6"/>
      <c r="H617" s="6"/>
      <c r="I617" s="3"/>
      <c r="J617" s="6"/>
      <c r="K617" s="3"/>
      <c r="L617" s="6"/>
      <c r="M617" s="6"/>
      <c r="N617" s="3"/>
      <c r="O617" s="6"/>
      <c r="P617" s="3"/>
      <c r="Q617" s="6"/>
      <c r="R617" s="6"/>
      <c r="S617" s="3"/>
      <c r="T617" s="6"/>
      <c r="U617" s="3"/>
      <c r="V617" s="6"/>
      <c r="W617" s="6"/>
      <c r="X617" s="3"/>
      <c r="Y617" s="6"/>
      <c r="Z617" s="3"/>
      <c r="AA617" s="6"/>
      <c r="AB617" s="6"/>
      <c r="AC617" s="3"/>
    </row>
    <row r="618" spans="1:29" ht="15.75" customHeight="1" x14ac:dyDescent="0.2">
      <c r="A618" s="2"/>
      <c r="B618" s="2"/>
      <c r="C618" s="2"/>
      <c r="D618" s="14"/>
      <c r="E618" s="6"/>
      <c r="F618" s="3"/>
      <c r="G618" s="6"/>
      <c r="H618" s="6"/>
      <c r="I618" s="3"/>
      <c r="J618" s="6"/>
      <c r="K618" s="3"/>
      <c r="L618" s="6"/>
      <c r="M618" s="6"/>
      <c r="N618" s="3"/>
      <c r="O618" s="6"/>
      <c r="P618" s="3"/>
      <c r="Q618" s="6"/>
      <c r="R618" s="6"/>
      <c r="S618" s="3"/>
      <c r="T618" s="6"/>
      <c r="U618" s="3"/>
      <c r="V618" s="6"/>
      <c r="W618" s="6"/>
      <c r="X618" s="3"/>
      <c r="Y618" s="6"/>
      <c r="Z618" s="3"/>
      <c r="AA618" s="6"/>
      <c r="AB618" s="6"/>
      <c r="AC618" s="3"/>
    </row>
    <row r="619" spans="1:29" ht="15.75" customHeight="1" x14ac:dyDescent="0.2">
      <c r="A619" s="2"/>
      <c r="B619" s="2"/>
      <c r="C619" s="2"/>
      <c r="D619" s="14"/>
      <c r="E619" s="6"/>
      <c r="F619" s="3"/>
      <c r="G619" s="6"/>
      <c r="H619" s="6"/>
      <c r="I619" s="3"/>
      <c r="J619" s="6"/>
      <c r="K619" s="3"/>
      <c r="L619" s="6"/>
      <c r="M619" s="6"/>
      <c r="N619" s="3"/>
      <c r="O619" s="6"/>
      <c r="P619" s="3"/>
      <c r="Q619" s="6"/>
      <c r="R619" s="6"/>
      <c r="S619" s="3"/>
      <c r="T619" s="6"/>
      <c r="U619" s="3"/>
      <c r="V619" s="6"/>
      <c r="W619" s="6"/>
      <c r="X619" s="3"/>
      <c r="Y619" s="6"/>
      <c r="Z619" s="3"/>
      <c r="AA619" s="6"/>
      <c r="AB619" s="6"/>
      <c r="AC619" s="3"/>
    </row>
    <row r="620" spans="1:29" ht="15.75" customHeight="1" x14ac:dyDescent="0.2">
      <c r="A620" s="2"/>
      <c r="B620" s="2"/>
      <c r="C620" s="2"/>
      <c r="D620" s="14"/>
      <c r="E620" s="6"/>
      <c r="F620" s="3"/>
      <c r="G620" s="6"/>
      <c r="H620" s="6"/>
      <c r="I620" s="3"/>
      <c r="J620" s="6"/>
      <c r="K620" s="3"/>
      <c r="L620" s="6"/>
      <c r="M620" s="6"/>
      <c r="N620" s="3"/>
      <c r="O620" s="6"/>
      <c r="P620" s="3"/>
      <c r="Q620" s="6"/>
      <c r="R620" s="6"/>
      <c r="S620" s="3"/>
      <c r="T620" s="6"/>
      <c r="U620" s="3"/>
      <c r="V620" s="6"/>
      <c r="W620" s="6"/>
      <c r="X620" s="3"/>
      <c r="Y620" s="6"/>
      <c r="Z620" s="3"/>
      <c r="AA620" s="6"/>
      <c r="AB620" s="6"/>
      <c r="AC620" s="3"/>
    </row>
    <row r="621" spans="1:29" ht="15.75" customHeight="1" x14ac:dyDescent="0.2">
      <c r="A621" s="2"/>
      <c r="B621" s="2"/>
      <c r="C621" s="2"/>
      <c r="D621" s="14"/>
      <c r="E621" s="6"/>
      <c r="F621" s="3"/>
      <c r="G621" s="6"/>
      <c r="H621" s="6"/>
      <c r="I621" s="3"/>
      <c r="J621" s="6"/>
      <c r="K621" s="3"/>
      <c r="L621" s="6"/>
      <c r="M621" s="6"/>
      <c r="N621" s="3"/>
      <c r="O621" s="6"/>
      <c r="P621" s="3"/>
      <c r="Q621" s="6"/>
      <c r="R621" s="6"/>
      <c r="S621" s="3"/>
      <c r="T621" s="6"/>
      <c r="U621" s="3"/>
      <c r="V621" s="6"/>
      <c r="W621" s="6"/>
      <c r="X621" s="3"/>
      <c r="Y621" s="6"/>
      <c r="Z621" s="3"/>
      <c r="AA621" s="6"/>
      <c r="AB621" s="6"/>
      <c r="AC621" s="3"/>
    </row>
    <row r="622" spans="1:29" ht="15.75" customHeight="1" x14ac:dyDescent="0.2">
      <c r="A622" s="2"/>
      <c r="B622" s="2"/>
      <c r="C622" s="2"/>
      <c r="D622" s="14"/>
      <c r="E622" s="6"/>
      <c r="F622" s="3"/>
      <c r="G622" s="6"/>
      <c r="H622" s="6"/>
      <c r="I622" s="3"/>
      <c r="J622" s="6"/>
      <c r="K622" s="3"/>
      <c r="L622" s="6"/>
      <c r="M622" s="6"/>
      <c r="N622" s="3"/>
      <c r="O622" s="6"/>
      <c r="P622" s="3"/>
      <c r="Q622" s="6"/>
      <c r="R622" s="6"/>
      <c r="S622" s="3"/>
      <c r="T622" s="6"/>
      <c r="U622" s="3"/>
      <c r="V622" s="6"/>
      <c r="W622" s="6"/>
      <c r="X622" s="3"/>
      <c r="Y622" s="6"/>
      <c r="Z622" s="3"/>
      <c r="AA622" s="6"/>
      <c r="AB622" s="6"/>
      <c r="AC622" s="3"/>
    </row>
    <row r="623" spans="1:29" ht="15.75" customHeight="1" x14ac:dyDescent="0.2">
      <c r="A623" s="2"/>
      <c r="B623" s="2"/>
      <c r="C623" s="2"/>
      <c r="D623" s="14"/>
      <c r="E623" s="6"/>
      <c r="F623" s="3"/>
      <c r="G623" s="6"/>
      <c r="H623" s="6"/>
      <c r="I623" s="3"/>
      <c r="J623" s="6"/>
      <c r="K623" s="3"/>
      <c r="L623" s="6"/>
      <c r="M623" s="6"/>
      <c r="N623" s="3"/>
      <c r="O623" s="6"/>
      <c r="P623" s="3"/>
      <c r="Q623" s="6"/>
      <c r="R623" s="6"/>
      <c r="S623" s="3"/>
      <c r="T623" s="6"/>
      <c r="U623" s="3"/>
      <c r="V623" s="6"/>
      <c r="W623" s="6"/>
      <c r="X623" s="3"/>
      <c r="Y623" s="6"/>
      <c r="Z623" s="3"/>
      <c r="AA623" s="6"/>
      <c r="AB623" s="6"/>
      <c r="AC623" s="3"/>
    </row>
    <row r="624" spans="1:29" ht="15.75" customHeight="1" x14ac:dyDescent="0.2">
      <c r="A624" s="2"/>
      <c r="B624" s="2"/>
      <c r="C624" s="2"/>
      <c r="D624" s="14"/>
      <c r="E624" s="6"/>
      <c r="F624" s="3"/>
      <c r="G624" s="6"/>
      <c r="H624" s="6"/>
      <c r="I624" s="3"/>
      <c r="J624" s="6"/>
      <c r="K624" s="3"/>
      <c r="L624" s="6"/>
      <c r="M624" s="6"/>
      <c r="N624" s="3"/>
      <c r="O624" s="6"/>
      <c r="P624" s="3"/>
      <c r="Q624" s="6"/>
      <c r="R624" s="6"/>
      <c r="S624" s="3"/>
      <c r="T624" s="6"/>
      <c r="U624" s="3"/>
      <c r="V624" s="6"/>
      <c r="W624" s="6"/>
      <c r="X624" s="3"/>
      <c r="Y624" s="6"/>
      <c r="Z624" s="3"/>
      <c r="AA624" s="6"/>
      <c r="AB624" s="6"/>
      <c r="AC624" s="3"/>
    </row>
    <row r="625" spans="1:29" ht="15.75" customHeight="1" x14ac:dyDescent="0.2">
      <c r="A625" s="2"/>
      <c r="B625" s="2"/>
      <c r="C625" s="2"/>
      <c r="D625" s="14"/>
      <c r="E625" s="6"/>
      <c r="F625" s="3"/>
      <c r="G625" s="6"/>
      <c r="H625" s="6"/>
      <c r="I625" s="3"/>
      <c r="J625" s="6"/>
      <c r="K625" s="3"/>
      <c r="L625" s="6"/>
      <c r="M625" s="6"/>
      <c r="N625" s="3"/>
      <c r="O625" s="6"/>
      <c r="P625" s="3"/>
      <c r="Q625" s="6"/>
      <c r="R625" s="6"/>
      <c r="S625" s="3"/>
      <c r="T625" s="6"/>
      <c r="U625" s="3"/>
      <c r="V625" s="6"/>
      <c r="W625" s="6"/>
      <c r="X625" s="3"/>
      <c r="Y625" s="6"/>
      <c r="Z625" s="3"/>
      <c r="AA625" s="6"/>
      <c r="AB625" s="6"/>
      <c r="AC625" s="3"/>
    </row>
    <row r="626" spans="1:29" ht="15.75" customHeight="1" x14ac:dyDescent="0.2">
      <c r="A626" s="2"/>
      <c r="B626" s="2"/>
      <c r="C626" s="2"/>
      <c r="D626" s="14"/>
      <c r="E626" s="6"/>
      <c r="F626" s="3"/>
      <c r="G626" s="6"/>
      <c r="H626" s="6"/>
      <c r="I626" s="3"/>
      <c r="J626" s="6"/>
      <c r="K626" s="3"/>
      <c r="L626" s="6"/>
      <c r="M626" s="6"/>
      <c r="N626" s="3"/>
      <c r="O626" s="6"/>
      <c r="P626" s="3"/>
      <c r="Q626" s="6"/>
      <c r="R626" s="6"/>
      <c r="S626" s="3"/>
      <c r="T626" s="6"/>
      <c r="U626" s="3"/>
      <c r="V626" s="6"/>
      <c r="W626" s="6"/>
      <c r="X626" s="3"/>
      <c r="Y626" s="6"/>
      <c r="Z626" s="3"/>
      <c r="AA626" s="6"/>
      <c r="AB626" s="6"/>
      <c r="AC626" s="3"/>
    </row>
    <row r="627" spans="1:29" ht="15.75" customHeight="1" x14ac:dyDescent="0.2">
      <c r="A627" s="2"/>
      <c r="B627" s="2"/>
      <c r="C627" s="2"/>
      <c r="D627" s="14"/>
      <c r="E627" s="6"/>
      <c r="F627" s="3"/>
      <c r="G627" s="6"/>
      <c r="H627" s="6"/>
      <c r="I627" s="3"/>
      <c r="J627" s="6"/>
      <c r="K627" s="3"/>
      <c r="L627" s="6"/>
      <c r="M627" s="6"/>
      <c r="N627" s="3"/>
      <c r="O627" s="6"/>
      <c r="P627" s="3"/>
      <c r="Q627" s="6"/>
      <c r="R627" s="6"/>
      <c r="S627" s="3"/>
      <c r="T627" s="6"/>
      <c r="U627" s="3"/>
      <c r="V627" s="6"/>
      <c r="W627" s="6"/>
      <c r="X627" s="3"/>
      <c r="Y627" s="6"/>
      <c r="Z627" s="3"/>
      <c r="AA627" s="6"/>
      <c r="AB627" s="6"/>
      <c r="AC627" s="3"/>
    </row>
    <row r="628" spans="1:29" ht="15.75" customHeight="1" x14ac:dyDescent="0.2">
      <c r="A628" s="2"/>
      <c r="B628" s="2"/>
      <c r="C628" s="2"/>
      <c r="D628" s="14"/>
      <c r="E628" s="6"/>
      <c r="F628" s="3"/>
      <c r="G628" s="6"/>
      <c r="H628" s="6"/>
      <c r="I628" s="3"/>
      <c r="J628" s="6"/>
      <c r="K628" s="3"/>
      <c r="L628" s="6"/>
      <c r="M628" s="6"/>
      <c r="N628" s="3"/>
      <c r="O628" s="6"/>
      <c r="P628" s="3"/>
      <c r="Q628" s="6"/>
      <c r="R628" s="6"/>
      <c r="S628" s="3"/>
      <c r="T628" s="6"/>
      <c r="U628" s="3"/>
      <c r="V628" s="6"/>
      <c r="W628" s="6"/>
      <c r="X628" s="3"/>
      <c r="Y628" s="6"/>
      <c r="Z628" s="3"/>
      <c r="AA628" s="6"/>
      <c r="AB628" s="6"/>
      <c r="AC628" s="3"/>
    </row>
    <row r="629" spans="1:29" ht="15.75" customHeight="1" x14ac:dyDescent="0.2">
      <c r="A629" s="2"/>
      <c r="B629" s="2"/>
      <c r="C629" s="2"/>
      <c r="D629" s="14"/>
      <c r="E629" s="6"/>
      <c r="F629" s="3"/>
      <c r="G629" s="6"/>
      <c r="H629" s="6"/>
      <c r="I629" s="3"/>
      <c r="J629" s="6"/>
      <c r="K629" s="3"/>
      <c r="L629" s="6"/>
      <c r="M629" s="6"/>
      <c r="N629" s="3"/>
      <c r="O629" s="6"/>
      <c r="P629" s="3"/>
      <c r="Q629" s="6"/>
      <c r="R629" s="6"/>
      <c r="S629" s="3"/>
      <c r="T629" s="6"/>
      <c r="U629" s="3"/>
      <c r="V629" s="6"/>
      <c r="W629" s="6"/>
      <c r="X629" s="3"/>
      <c r="Y629" s="6"/>
      <c r="Z629" s="3"/>
      <c r="AA629" s="6"/>
      <c r="AB629" s="6"/>
      <c r="AC629" s="3"/>
    </row>
    <row r="630" spans="1:29" ht="15.75" customHeight="1" x14ac:dyDescent="0.2">
      <c r="A630" s="2"/>
      <c r="B630" s="2"/>
      <c r="C630" s="2"/>
      <c r="D630" s="14"/>
      <c r="E630" s="6"/>
      <c r="F630" s="3"/>
      <c r="G630" s="6"/>
      <c r="H630" s="6"/>
      <c r="I630" s="3"/>
      <c r="J630" s="6"/>
      <c r="K630" s="3"/>
      <c r="L630" s="6"/>
      <c r="M630" s="6"/>
      <c r="N630" s="3"/>
      <c r="O630" s="6"/>
      <c r="P630" s="3"/>
      <c r="Q630" s="6"/>
      <c r="R630" s="6"/>
      <c r="S630" s="3"/>
      <c r="T630" s="6"/>
      <c r="U630" s="3"/>
      <c r="V630" s="6"/>
      <c r="W630" s="6"/>
      <c r="X630" s="3"/>
      <c r="Y630" s="6"/>
      <c r="Z630" s="3"/>
      <c r="AA630" s="6"/>
      <c r="AB630" s="6"/>
      <c r="AC630" s="3"/>
    </row>
    <row r="631" spans="1:29" ht="15.75" customHeight="1" x14ac:dyDescent="0.2">
      <c r="A631" s="2"/>
      <c r="B631" s="2"/>
      <c r="C631" s="2"/>
      <c r="D631" s="14"/>
      <c r="E631" s="6"/>
      <c r="F631" s="3"/>
      <c r="G631" s="6"/>
      <c r="H631" s="6"/>
      <c r="I631" s="3"/>
      <c r="J631" s="6"/>
      <c r="K631" s="3"/>
      <c r="L631" s="6"/>
      <c r="M631" s="6"/>
      <c r="N631" s="3"/>
      <c r="O631" s="6"/>
      <c r="P631" s="3"/>
      <c r="Q631" s="6"/>
      <c r="R631" s="6"/>
      <c r="S631" s="3"/>
      <c r="T631" s="6"/>
      <c r="U631" s="3"/>
      <c r="V631" s="6"/>
      <c r="W631" s="6"/>
      <c r="X631" s="3"/>
      <c r="Y631" s="6"/>
      <c r="Z631" s="3"/>
      <c r="AA631" s="6"/>
      <c r="AB631" s="6"/>
      <c r="AC631" s="3"/>
    </row>
    <row r="632" spans="1:29" ht="15.75" customHeight="1" x14ac:dyDescent="0.2">
      <c r="A632" s="2"/>
      <c r="B632" s="2"/>
      <c r="C632" s="2"/>
      <c r="D632" s="14"/>
      <c r="E632" s="6"/>
      <c r="F632" s="3"/>
      <c r="G632" s="6"/>
      <c r="H632" s="6"/>
      <c r="I632" s="3"/>
      <c r="J632" s="6"/>
      <c r="K632" s="3"/>
      <c r="L632" s="6"/>
      <c r="M632" s="6"/>
      <c r="N632" s="3"/>
      <c r="O632" s="6"/>
      <c r="P632" s="3"/>
      <c r="Q632" s="6"/>
      <c r="R632" s="6"/>
      <c r="S632" s="3"/>
      <c r="T632" s="6"/>
      <c r="U632" s="3"/>
      <c r="V632" s="6"/>
      <c r="W632" s="6"/>
      <c r="X632" s="3"/>
      <c r="Y632" s="6"/>
      <c r="Z632" s="3"/>
      <c r="AA632" s="6"/>
      <c r="AB632" s="6"/>
      <c r="AC632" s="3"/>
    </row>
    <row r="633" spans="1:29" ht="15.75" customHeight="1" x14ac:dyDescent="0.2">
      <c r="A633" s="2"/>
      <c r="B633" s="2"/>
      <c r="C633" s="2"/>
      <c r="D633" s="14"/>
      <c r="E633" s="6"/>
      <c r="F633" s="3"/>
      <c r="G633" s="6"/>
      <c r="H633" s="6"/>
      <c r="I633" s="3"/>
      <c r="J633" s="6"/>
      <c r="K633" s="3"/>
      <c r="L633" s="6"/>
      <c r="M633" s="6"/>
      <c r="N633" s="3"/>
      <c r="O633" s="6"/>
      <c r="P633" s="3"/>
      <c r="Q633" s="6"/>
      <c r="R633" s="6"/>
      <c r="S633" s="3"/>
      <c r="T633" s="6"/>
      <c r="U633" s="3"/>
      <c r="V633" s="6"/>
      <c r="W633" s="6"/>
      <c r="X633" s="3"/>
      <c r="Y633" s="6"/>
      <c r="Z633" s="3"/>
      <c r="AA633" s="6"/>
      <c r="AB633" s="6"/>
      <c r="AC633" s="3"/>
    </row>
    <row r="634" spans="1:29" ht="15.75" customHeight="1" x14ac:dyDescent="0.2">
      <c r="A634" s="2"/>
      <c r="B634" s="2"/>
      <c r="C634" s="2"/>
      <c r="D634" s="14"/>
      <c r="E634" s="6"/>
      <c r="F634" s="3"/>
      <c r="G634" s="6"/>
      <c r="H634" s="6"/>
      <c r="I634" s="3"/>
      <c r="J634" s="6"/>
      <c r="K634" s="3"/>
      <c r="L634" s="6"/>
      <c r="M634" s="6"/>
      <c r="N634" s="3"/>
      <c r="O634" s="6"/>
      <c r="P634" s="3"/>
      <c r="Q634" s="6"/>
      <c r="R634" s="6"/>
      <c r="S634" s="3"/>
      <c r="T634" s="6"/>
      <c r="U634" s="3"/>
      <c r="V634" s="6"/>
      <c r="W634" s="6"/>
      <c r="X634" s="3"/>
      <c r="Y634" s="6"/>
      <c r="Z634" s="3"/>
      <c r="AA634" s="6"/>
      <c r="AB634" s="6"/>
      <c r="AC634" s="3"/>
    </row>
    <row r="635" spans="1:29" ht="15.75" customHeight="1" x14ac:dyDescent="0.2">
      <c r="A635" s="2"/>
      <c r="B635" s="2"/>
      <c r="C635" s="2"/>
      <c r="D635" s="14"/>
      <c r="E635" s="6"/>
      <c r="F635" s="3"/>
      <c r="G635" s="6"/>
      <c r="H635" s="6"/>
      <c r="I635" s="3"/>
      <c r="J635" s="6"/>
      <c r="K635" s="3"/>
      <c r="L635" s="6"/>
      <c r="M635" s="6"/>
      <c r="N635" s="3"/>
      <c r="O635" s="6"/>
      <c r="P635" s="3"/>
      <c r="Q635" s="6"/>
      <c r="R635" s="6"/>
      <c r="S635" s="3"/>
      <c r="T635" s="6"/>
      <c r="U635" s="3"/>
      <c r="V635" s="6"/>
      <c r="W635" s="6"/>
      <c r="X635" s="3"/>
      <c r="Y635" s="6"/>
      <c r="Z635" s="3"/>
      <c r="AA635" s="6"/>
      <c r="AB635" s="6"/>
      <c r="AC635" s="3"/>
    </row>
    <row r="636" spans="1:29" ht="15.75" customHeight="1" x14ac:dyDescent="0.2">
      <c r="A636" s="2"/>
      <c r="B636" s="2"/>
      <c r="C636" s="2"/>
      <c r="D636" s="14"/>
      <c r="E636" s="6"/>
      <c r="F636" s="3"/>
      <c r="G636" s="6"/>
      <c r="H636" s="6"/>
      <c r="I636" s="3"/>
      <c r="J636" s="6"/>
      <c r="K636" s="3"/>
      <c r="L636" s="6"/>
      <c r="M636" s="6"/>
      <c r="N636" s="3"/>
      <c r="O636" s="6"/>
      <c r="P636" s="3"/>
      <c r="Q636" s="6"/>
      <c r="R636" s="6"/>
      <c r="S636" s="3"/>
      <c r="T636" s="6"/>
      <c r="U636" s="3"/>
      <c r="V636" s="6"/>
      <c r="W636" s="6"/>
      <c r="X636" s="3"/>
      <c r="Y636" s="6"/>
      <c r="Z636" s="3"/>
      <c r="AA636" s="6"/>
      <c r="AB636" s="6"/>
      <c r="AC636" s="3"/>
    </row>
    <row r="637" spans="1:29" ht="15.75" customHeight="1" x14ac:dyDescent="0.2">
      <c r="A637" s="2"/>
      <c r="B637" s="2"/>
      <c r="C637" s="2"/>
      <c r="D637" s="14"/>
      <c r="E637" s="6"/>
      <c r="F637" s="3"/>
      <c r="G637" s="6"/>
      <c r="H637" s="6"/>
      <c r="I637" s="3"/>
      <c r="J637" s="6"/>
      <c r="K637" s="3"/>
      <c r="L637" s="6"/>
      <c r="M637" s="6"/>
      <c r="N637" s="3"/>
      <c r="O637" s="6"/>
      <c r="P637" s="3"/>
      <c r="Q637" s="6"/>
      <c r="R637" s="6"/>
      <c r="S637" s="3"/>
      <c r="T637" s="6"/>
      <c r="U637" s="3"/>
      <c r="V637" s="6"/>
      <c r="W637" s="6"/>
      <c r="X637" s="3"/>
      <c r="Y637" s="6"/>
      <c r="Z637" s="3"/>
      <c r="AA637" s="6"/>
      <c r="AB637" s="6"/>
      <c r="AC637" s="3"/>
    </row>
    <row r="638" spans="1:29" ht="15.75" customHeight="1" x14ac:dyDescent="0.2">
      <c r="A638" s="2"/>
      <c r="B638" s="2"/>
      <c r="C638" s="2"/>
      <c r="D638" s="14"/>
      <c r="E638" s="6"/>
      <c r="F638" s="3"/>
      <c r="G638" s="6"/>
      <c r="H638" s="6"/>
      <c r="I638" s="3"/>
      <c r="J638" s="6"/>
      <c r="K638" s="3"/>
      <c r="L638" s="6"/>
      <c r="M638" s="6"/>
      <c r="N638" s="3"/>
      <c r="O638" s="6"/>
      <c r="P638" s="3"/>
      <c r="Q638" s="6"/>
      <c r="R638" s="6"/>
      <c r="S638" s="3"/>
      <c r="T638" s="6"/>
      <c r="U638" s="3"/>
      <c r="V638" s="6"/>
      <c r="W638" s="6"/>
      <c r="X638" s="3"/>
      <c r="Y638" s="6"/>
      <c r="Z638" s="3"/>
      <c r="AA638" s="6"/>
      <c r="AB638" s="6"/>
      <c r="AC638" s="3"/>
    </row>
    <row r="639" spans="1:29" ht="15.75" customHeight="1" x14ac:dyDescent="0.2">
      <c r="A639" s="2"/>
      <c r="B639" s="2"/>
      <c r="C639" s="2"/>
      <c r="D639" s="14"/>
      <c r="E639" s="6"/>
      <c r="F639" s="3"/>
      <c r="G639" s="6"/>
      <c r="H639" s="6"/>
      <c r="I639" s="3"/>
      <c r="J639" s="6"/>
      <c r="K639" s="3"/>
      <c r="L639" s="6"/>
      <c r="M639" s="6"/>
      <c r="N639" s="3"/>
      <c r="O639" s="6"/>
      <c r="P639" s="3"/>
      <c r="Q639" s="6"/>
      <c r="R639" s="6"/>
      <c r="S639" s="3"/>
      <c r="T639" s="6"/>
      <c r="U639" s="3"/>
      <c r="V639" s="6"/>
      <c r="W639" s="6"/>
      <c r="X639" s="3"/>
      <c r="Y639" s="6"/>
      <c r="Z639" s="3"/>
      <c r="AA639" s="6"/>
      <c r="AB639" s="6"/>
      <c r="AC639" s="3"/>
    </row>
    <row r="640" spans="1:29" ht="15.75" customHeight="1" x14ac:dyDescent="0.2">
      <c r="A640" s="2"/>
      <c r="B640" s="2"/>
      <c r="C640" s="2"/>
      <c r="D640" s="14"/>
      <c r="E640" s="6"/>
      <c r="F640" s="3"/>
      <c r="G640" s="6"/>
      <c r="H640" s="6"/>
      <c r="I640" s="3"/>
      <c r="J640" s="6"/>
      <c r="K640" s="3"/>
      <c r="L640" s="6"/>
      <c r="M640" s="6"/>
      <c r="N640" s="3"/>
      <c r="O640" s="6"/>
      <c r="P640" s="3"/>
      <c r="Q640" s="6"/>
      <c r="R640" s="6"/>
      <c r="S640" s="3"/>
      <c r="T640" s="6"/>
      <c r="U640" s="3"/>
      <c r="V640" s="6"/>
      <c r="W640" s="6"/>
      <c r="X640" s="3"/>
      <c r="Y640" s="6"/>
      <c r="Z640" s="3"/>
      <c r="AA640" s="6"/>
      <c r="AB640" s="6"/>
      <c r="AC640" s="3"/>
    </row>
    <row r="641" spans="1:29" ht="15.75" customHeight="1" x14ac:dyDescent="0.2">
      <c r="A641" s="2"/>
      <c r="B641" s="2"/>
      <c r="C641" s="2"/>
      <c r="D641" s="14"/>
      <c r="E641" s="6"/>
      <c r="F641" s="3"/>
      <c r="G641" s="6"/>
      <c r="H641" s="6"/>
      <c r="I641" s="3"/>
      <c r="J641" s="6"/>
      <c r="K641" s="3"/>
      <c r="L641" s="6"/>
      <c r="M641" s="6"/>
      <c r="N641" s="3"/>
      <c r="O641" s="6"/>
      <c r="P641" s="3"/>
      <c r="Q641" s="6"/>
      <c r="R641" s="6"/>
      <c r="S641" s="3"/>
      <c r="T641" s="6"/>
      <c r="U641" s="3"/>
      <c r="V641" s="6"/>
      <c r="W641" s="6"/>
      <c r="X641" s="3"/>
      <c r="Y641" s="6"/>
      <c r="Z641" s="3"/>
      <c r="AA641" s="6"/>
      <c r="AB641" s="6"/>
      <c r="AC641" s="3"/>
    </row>
    <row r="642" spans="1:29" ht="15.75" customHeight="1" x14ac:dyDescent="0.2">
      <c r="A642" s="2"/>
      <c r="B642" s="2"/>
      <c r="C642" s="2"/>
      <c r="D642" s="14"/>
      <c r="E642" s="6"/>
      <c r="F642" s="3"/>
      <c r="G642" s="6"/>
      <c r="H642" s="6"/>
      <c r="I642" s="3"/>
      <c r="J642" s="6"/>
      <c r="K642" s="3"/>
      <c r="L642" s="6"/>
      <c r="M642" s="6"/>
      <c r="N642" s="3"/>
      <c r="O642" s="6"/>
      <c r="P642" s="3"/>
      <c r="Q642" s="6"/>
      <c r="R642" s="6"/>
      <c r="S642" s="3"/>
      <c r="T642" s="6"/>
      <c r="U642" s="3"/>
      <c r="V642" s="6"/>
      <c r="W642" s="6"/>
      <c r="X642" s="3"/>
      <c r="Y642" s="6"/>
      <c r="Z642" s="3"/>
      <c r="AA642" s="6"/>
      <c r="AB642" s="6"/>
      <c r="AC642" s="3"/>
    </row>
    <row r="643" spans="1:29" ht="15.75" customHeight="1" x14ac:dyDescent="0.2">
      <c r="A643" s="2"/>
      <c r="B643" s="2"/>
      <c r="C643" s="2"/>
      <c r="D643" s="14"/>
      <c r="E643" s="6"/>
      <c r="F643" s="3"/>
      <c r="G643" s="6"/>
      <c r="H643" s="6"/>
      <c r="I643" s="3"/>
      <c r="J643" s="6"/>
      <c r="K643" s="3"/>
      <c r="L643" s="6"/>
      <c r="M643" s="6"/>
      <c r="N643" s="3"/>
      <c r="O643" s="6"/>
      <c r="P643" s="3"/>
      <c r="Q643" s="6"/>
      <c r="R643" s="6"/>
      <c r="S643" s="3"/>
      <c r="T643" s="6"/>
      <c r="U643" s="3"/>
      <c r="V643" s="6"/>
      <c r="W643" s="6"/>
      <c r="X643" s="3"/>
      <c r="Y643" s="6"/>
      <c r="Z643" s="3"/>
      <c r="AA643" s="6"/>
      <c r="AB643" s="6"/>
      <c r="AC643" s="3"/>
    </row>
    <row r="644" spans="1:29" ht="15.75" customHeight="1" x14ac:dyDescent="0.2">
      <c r="A644" s="2"/>
      <c r="B644" s="2"/>
      <c r="C644" s="2"/>
      <c r="D644" s="14"/>
      <c r="E644" s="6"/>
      <c r="F644" s="3"/>
      <c r="G644" s="6"/>
      <c r="H644" s="6"/>
      <c r="I644" s="3"/>
      <c r="J644" s="6"/>
      <c r="K644" s="3"/>
      <c r="L644" s="6"/>
      <c r="M644" s="6"/>
      <c r="N644" s="3"/>
      <c r="O644" s="6"/>
      <c r="P644" s="3"/>
      <c r="Q644" s="6"/>
      <c r="R644" s="6"/>
      <c r="S644" s="3"/>
      <c r="T644" s="6"/>
      <c r="U644" s="3"/>
      <c r="V644" s="6"/>
      <c r="W644" s="6"/>
      <c r="X644" s="3"/>
      <c r="Y644" s="6"/>
      <c r="Z644" s="3"/>
      <c r="AA644" s="6"/>
      <c r="AB644" s="6"/>
      <c r="AC644" s="3"/>
    </row>
    <row r="645" spans="1:29" ht="15.75" customHeight="1" x14ac:dyDescent="0.2">
      <c r="A645" s="2"/>
      <c r="B645" s="2"/>
      <c r="C645" s="2"/>
      <c r="D645" s="14"/>
      <c r="E645" s="6"/>
      <c r="F645" s="3"/>
      <c r="G645" s="6"/>
      <c r="H645" s="6"/>
      <c r="I645" s="3"/>
      <c r="J645" s="6"/>
      <c r="K645" s="3"/>
      <c r="L645" s="6"/>
      <c r="M645" s="6"/>
      <c r="N645" s="3"/>
      <c r="O645" s="6"/>
      <c r="P645" s="3"/>
      <c r="Q645" s="6"/>
      <c r="R645" s="6"/>
      <c r="S645" s="3"/>
      <c r="T645" s="6"/>
      <c r="U645" s="3"/>
      <c r="V645" s="6"/>
      <c r="W645" s="6"/>
      <c r="X645" s="3"/>
      <c r="Y645" s="6"/>
      <c r="Z645" s="3"/>
      <c r="AA645" s="6"/>
      <c r="AB645" s="6"/>
      <c r="AC645" s="3"/>
    </row>
    <row r="646" spans="1:29" ht="15.75" customHeight="1" x14ac:dyDescent="0.2">
      <c r="A646" s="2"/>
      <c r="B646" s="2"/>
      <c r="C646" s="2"/>
      <c r="D646" s="14"/>
      <c r="E646" s="6"/>
      <c r="F646" s="3"/>
      <c r="G646" s="6"/>
      <c r="H646" s="6"/>
      <c r="I646" s="3"/>
      <c r="J646" s="6"/>
      <c r="K646" s="3"/>
      <c r="L646" s="6"/>
      <c r="M646" s="6"/>
      <c r="N646" s="3"/>
      <c r="O646" s="6"/>
      <c r="P646" s="3"/>
      <c r="Q646" s="6"/>
      <c r="R646" s="6"/>
      <c r="S646" s="3"/>
      <c r="T646" s="6"/>
      <c r="U646" s="3"/>
      <c r="V646" s="6"/>
      <c r="W646" s="6"/>
      <c r="X646" s="3"/>
      <c r="Y646" s="6"/>
      <c r="Z646" s="3"/>
      <c r="AA646" s="6"/>
      <c r="AB646" s="6"/>
      <c r="AC646" s="3"/>
    </row>
    <row r="647" spans="1:29" ht="15.75" customHeight="1" x14ac:dyDescent="0.2">
      <c r="A647" s="2"/>
      <c r="B647" s="2"/>
      <c r="C647" s="2"/>
      <c r="D647" s="14"/>
      <c r="E647" s="6"/>
      <c r="F647" s="3"/>
      <c r="G647" s="6"/>
      <c r="H647" s="6"/>
      <c r="I647" s="3"/>
      <c r="J647" s="6"/>
      <c r="K647" s="3"/>
      <c r="L647" s="6"/>
      <c r="M647" s="6"/>
      <c r="N647" s="3"/>
      <c r="O647" s="6"/>
      <c r="P647" s="3"/>
      <c r="Q647" s="6"/>
      <c r="R647" s="6"/>
      <c r="S647" s="3"/>
      <c r="T647" s="6"/>
      <c r="U647" s="3"/>
      <c r="V647" s="6"/>
      <c r="W647" s="6"/>
      <c r="X647" s="3"/>
      <c r="Y647" s="6"/>
      <c r="Z647" s="3"/>
      <c r="AA647" s="6"/>
      <c r="AB647" s="6"/>
      <c r="AC647" s="3"/>
    </row>
    <row r="648" spans="1:29" ht="15.75" customHeight="1" x14ac:dyDescent="0.2">
      <c r="A648" s="2"/>
      <c r="B648" s="2"/>
      <c r="C648" s="2"/>
      <c r="D648" s="14"/>
      <c r="E648" s="6"/>
      <c r="F648" s="3"/>
      <c r="G648" s="6"/>
      <c r="H648" s="6"/>
      <c r="I648" s="3"/>
      <c r="J648" s="6"/>
      <c r="K648" s="3"/>
      <c r="L648" s="6"/>
      <c r="M648" s="6"/>
      <c r="N648" s="3"/>
      <c r="O648" s="6"/>
      <c r="P648" s="3"/>
      <c r="Q648" s="6"/>
      <c r="R648" s="6"/>
      <c r="S648" s="3"/>
      <c r="T648" s="6"/>
      <c r="U648" s="3"/>
      <c r="V648" s="6"/>
      <c r="W648" s="6"/>
      <c r="X648" s="3"/>
      <c r="Y648" s="6"/>
      <c r="Z648" s="3"/>
      <c r="AA648" s="6"/>
      <c r="AB648" s="6"/>
      <c r="AC648" s="3"/>
    </row>
    <row r="649" spans="1:29" ht="15.75" customHeight="1" x14ac:dyDescent="0.2">
      <c r="A649" s="2"/>
      <c r="B649" s="2"/>
      <c r="C649" s="2"/>
      <c r="D649" s="14"/>
      <c r="E649" s="6"/>
      <c r="F649" s="3"/>
      <c r="G649" s="6"/>
      <c r="H649" s="6"/>
      <c r="I649" s="3"/>
      <c r="J649" s="6"/>
      <c r="K649" s="3"/>
      <c r="L649" s="6"/>
      <c r="M649" s="6"/>
      <c r="N649" s="3"/>
      <c r="O649" s="6"/>
      <c r="P649" s="3"/>
      <c r="Q649" s="6"/>
      <c r="R649" s="6"/>
      <c r="S649" s="3"/>
      <c r="T649" s="6"/>
      <c r="U649" s="3"/>
      <c r="V649" s="6"/>
      <c r="W649" s="6"/>
      <c r="X649" s="3"/>
      <c r="Y649" s="6"/>
      <c r="Z649" s="3"/>
      <c r="AA649" s="6"/>
      <c r="AB649" s="6"/>
      <c r="AC649" s="3"/>
    </row>
    <row r="650" spans="1:29" ht="15.75" customHeight="1" x14ac:dyDescent="0.2">
      <c r="A650" s="2"/>
      <c r="B650" s="2"/>
      <c r="C650" s="2"/>
      <c r="D650" s="14"/>
      <c r="E650" s="6"/>
      <c r="F650" s="3"/>
      <c r="G650" s="6"/>
      <c r="H650" s="6"/>
      <c r="I650" s="3"/>
      <c r="J650" s="6"/>
      <c r="K650" s="3"/>
      <c r="L650" s="6"/>
      <c r="M650" s="6"/>
      <c r="N650" s="3"/>
      <c r="O650" s="6"/>
      <c r="P650" s="3"/>
      <c r="Q650" s="6"/>
      <c r="R650" s="6"/>
      <c r="S650" s="3"/>
      <c r="T650" s="6"/>
      <c r="U650" s="3"/>
      <c r="V650" s="6"/>
      <c r="W650" s="6"/>
      <c r="X650" s="3"/>
      <c r="Y650" s="6"/>
      <c r="Z650" s="3"/>
      <c r="AA650" s="6"/>
      <c r="AB650" s="6"/>
      <c r="AC650" s="3"/>
    </row>
    <row r="651" spans="1:29" ht="15.75" customHeight="1" x14ac:dyDescent="0.2">
      <c r="A651" s="2"/>
      <c r="B651" s="2"/>
      <c r="C651" s="2"/>
      <c r="D651" s="14"/>
      <c r="E651" s="6"/>
      <c r="F651" s="3"/>
      <c r="G651" s="6"/>
      <c r="H651" s="6"/>
      <c r="I651" s="3"/>
      <c r="J651" s="6"/>
      <c r="K651" s="3"/>
      <c r="L651" s="6"/>
      <c r="M651" s="6"/>
      <c r="N651" s="3"/>
      <c r="O651" s="6"/>
      <c r="P651" s="3"/>
      <c r="Q651" s="6"/>
      <c r="R651" s="6"/>
      <c r="S651" s="3"/>
      <c r="T651" s="6"/>
      <c r="U651" s="3"/>
      <c r="V651" s="6"/>
      <c r="W651" s="6"/>
      <c r="X651" s="3"/>
      <c r="Y651" s="6"/>
      <c r="Z651" s="3"/>
      <c r="AA651" s="6"/>
      <c r="AB651" s="6"/>
      <c r="AC651" s="3"/>
    </row>
    <row r="652" spans="1:29" ht="15.75" customHeight="1" x14ac:dyDescent="0.2">
      <c r="A652" s="2"/>
      <c r="B652" s="2"/>
      <c r="C652" s="2"/>
      <c r="D652" s="14"/>
      <c r="E652" s="6"/>
      <c r="F652" s="3"/>
      <c r="G652" s="6"/>
      <c r="H652" s="6"/>
      <c r="I652" s="3"/>
      <c r="J652" s="6"/>
      <c r="K652" s="3"/>
      <c r="L652" s="6"/>
      <c r="M652" s="6"/>
      <c r="N652" s="3"/>
      <c r="O652" s="6"/>
      <c r="P652" s="3"/>
      <c r="Q652" s="6"/>
      <c r="R652" s="6"/>
      <c r="S652" s="3"/>
      <c r="T652" s="6"/>
      <c r="U652" s="3"/>
      <c r="V652" s="6"/>
      <c r="W652" s="6"/>
      <c r="X652" s="3"/>
      <c r="Y652" s="6"/>
      <c r="Z652" s="3"/>
      <c r="AA652" s="6"/>
      <c r="AB652" s="6"/>
      <c r="AC652" s="3"/>
    </row>
    <row r="653" spans="1:29" ht="15.75" customHeight="1" x14ac:dyDescent="0.2">
      <c r="A653" s="2"/>
      <c r="B653" s="2"/>
      <c r="C653" s="2"/>
      <c r="D653" s="14"/>
      <c r="E653" s="6"/>
      <c r="F653" s="3"/>
      <c r="G653" s="6"/>
      <c r="H653" s="6"/>
      <c r="I653" s="3"/>
      <c r="J653" s="6"/>
      <c r="K653" s="3"/>
      <c r="L653" s="6"/>
      <c r="M653" s="6"/>
      <c r="N653" s="3"/>
      <c r="O653" s="6"/>
      <c r="P653" s="3"/>
      <c r="Q653" s="6"/>
      <c r="R653" s="6"/>
      <c r="S653" s="3"/>
      <c r="T653" s="6"/>
      <c r="U653" s="3"/>
      <c r="V653" s="6"/>
      <c r="W653" s="6"/>
      <c r="X653" s="3"/>
      <c r="Y653" s="6"/>
      <c r="Z653" s="3"/>
      <c r="AA653" s="6"/>
      <c r="AB653" s="6"/>
      <c r="AC653" s="3"/>
    </row>
    <row r="654" spans="1:29" ht="15.75" customHeight="1" x14ac:dyDescent="0.2">
      <c r="A654" s="2"/>
      <c r="B654" s="2"/>
      <c r="C654" s="2"/>
      <c r="D654" s="14"/>
      <c r="E654" s="6"/>
      <c r="F654" s="3"/>
      <c r="G654" s="6"/>
      <c r="H654" s="6"/>
      <c r="I654" s="3"/>
      <c r="J654" s="6"/>
      <c r="K654" s="3"/>
      <c r="L654" s="6"/>
      <c r="M654" s="6"/>
      <c r="N654" s="3"/>
      <c r="O654" s="6"/>
      <c r="P654" s="3"/>
      <c r="Q654" s="6"/>
      <c r="R654" s="6"/>
      <c r="S654" s="3"/>
      <c r="T654" s="6"/>
      <c r="U654" s="3"/>
      <c r="V654" s="6"/>
      <c r="W654" s="6"/>
      <c r="X654" s="3"/>
      <c r="Y654" s="6"/>
      <c r="Z654" s="3"/>
      <c r="AA654" s="6"/>
      <c r="AB654" s="6"/>
      <c r="AC654" s="3"/>
    </row>
    <row r="655" spans="1:29" ht="15.75" customHeight="1" x14ac:dyDescent="0.2">
      <c r="A655" s="2"/>
      <c r="B655" s="2"/>
      <c r="C655" s="2"/>
      <c r="D655" s="14"/>
      <c r="E655" s="6"/>
      <c r="F655" s="3"/>
      <c r="G655" s="6"/>
      <c r="H655" s="6"/>
      <c r="I655" s="3"/>
      <c r="J655" s="6"/>
      <c r="K655" s="3"/>
      <c r="L655" s="6"/>
      <c r="M655" s="6"/>
      <c r="N655" s="3"/>
      <c r="O655" s="6"/>
      <c r="P655" s="3"/>
      <c r="Q655" s="6"/>
      <c r="R655" s="6"/>
      <c r="S655" s="3"/>
      <c r="T655" s="6"/>
      <c r="U655" s="3"/>
      <c r="V655" s="6"/>
      <c r="W655" s="6"/>
      <c r="X655" s="3"/>
      <c r="Y655" s="6"/>
      <c r="Z655" s="3"/>
      <c r="AA655" s="6"/>
      <c r="AB655" s="6"/>
      <c r="AC655" s="3"/>
    </row>
    <row r="656" spans="1:29" ht="15.75" customHeight="1" x14ac:dyDescent="0.2">
      <c r="A656" s="2"/>
      <c r="B656" s="2"/>
      <c r="C656" s="2"/>
      <c r="D656" s="14"/>
      <c r="E656" s="6"/>
      <c r="F656" s="3"/>
      <c r="G656" s="6"/>
      <c r="H656" s="6"/>
      <c r="I656" s="3"/>
      <c r="J656" s="6"/>
      <c r="K656" s="3"/>
      <c r="L656" s="6"/>
      <c r="M656" s="6"/>
      <c r="N656" s="3"/>
      <c r="O656" s="6"/>
      <c r="P656" s="3"/>
      <c r="Q656" s="6"/>
      <c r="R656" s="6"/>
      <c r="S656" s="3"/>
      <c r="T656" s="6"/>
      <c r="U656" s="3"/>
      <c r="V656" s="6"/>
      <c r="W656" s="6"/>
      <c r="X656" s="3"/>
      <c r="Y656" s="6"/>
      <c r="Z656" s="3"/>
      <c r="AA656" s="6"/>
      <c r="AB656" s="6"/>
      <c r="AC656" s="3"/>
    </row>
    <row r="657" spans="1:29" ht="15.75" customHeight="1" x14ac:dyDescent="0.2">
      <c r="A657" s="2"/>
      <c r="B657" s="2"/>
      <c r="C657" s="2"/>
      <c r="D657" s="14"/>
      <c r="E657" s="6"/>
      <c r="F657" s="3"/>
      <c r="G657" s="6"/>
      <c r="H657" s="6"/>
      <c r="I657" s="3"/>
      <c r="J657" s="6"/>
      <c r="K657" s="3"/>
      <c r="L657" s="6"/>
      <c r="M657" s="6"/>
      <c r="N657" s="3"/>
      <c r="O657" s="6"/>
      <c r="P657" s="3"/>
      <c r="Q657" s="6"/>
      <c r="R657" s="6"/>
      <c r="S657" s="3"/>
      <c r="T657" s="6"/>
      <c r="U657" s="3"/>
      <c r="V657" s="6"/>
      <c r="W657" s="6"/>
      <c r="X657" s="3"/>
      <c r="Y657" s="6"/>
      <c r="Z657" s="3"/>
      <c r="AA657" s="6"/>
      <c r="AB657" s="6"/>
      <c r="AC657" s="3"/>
    </row>
    <row r="658" spans="1:29" ht="15.75" customHeight="1" x14ac:dyDescent="0.2">
      <c r="A658" s="2"/>
      <c r="B658" s="2"/>
      <c r="C658" s="2"/>
      <c r="D658" s="14"/>
      <c r="E658" s="6"/>
      <c r="F658" s="3"/>
      <c r="G658" s="6"/>
      <c r="H658" s="6"/>
      <c r="I658" s="3"/>
      <c r="J658" s="6"/>
      <c r="K658" s="3"/>
      <c r="L658" s="6"/>
      <c r="M658" s="6"/>
      <c r="N658" s="3"/>
      <c r="O658" s="6"/>
      <c r="P658" s="3"/>
      <c r="Q658" s="6"/>
      <c r="R658" s="6"/>
      <c r="S658" s="3"/>
      <c r="T658" s="6"/>
      <c r="U658" s="3"/>
      <c r="V658" s="6"/>
      <c r="W658" s="6"/>
      <c r="X658" s="3"/>
      <c r="Y658" s="6"/>
      <c r="Z658" s="3"/>
      <c r="AA658" s="6"/>
      <c r="AB658" s="6"/>
      <c r="AC658" s="3"/>
    </row>
    <row r="659" spans="1:29" ht="15.75" customHeight="1" x14ac:dyDescent="0.2">
      <c r="A659" s="2"/>
      <c r="B659" s="2"/>
      <c r="C659" s="2"/>
      <c r="D659" s="14"/>
      <c r="E659" s="6"/>
      <c r="F659" s="3"/>
      <c r="G659" s="6"/>
      <c r="H659" s="6"/>
      <c r="I659" s="3"/>
      <c r="J659" s="6"/>
      <c r="K659" s="3"/>
      <c r="L659" s="6"/>
      <c r="M659" s="6"/>
      <c r="N659" s="3"/>
      <c r="O659" s="6"/>
      <c r="P659" s="3"/>
      <c r="Q659" s="6"/>
      <c r="R659" s="6"/>
      <c r="S659" s="3"/>
      <c r="T659" s="6"/>
      <c r="U659" s="3"/>
      <c r="V659" s="6"/>
      <c r="W659" s="6"/>
      <c r="X659" s="3"/>
      <c r="Y659" s="6"/>
      <c r="Z659" s="3"/>
      <c r="AA659" s="6"/>
      <c r="AB659" s="6"/>
      <c r="AC659" s="3"/>
    </row>
    <row r="660" spans="1:29" ht="15.75" customHeight="1" x14ac:dyDescent="0.2">
      <c r="A660" s="2"/>
      <c r="B660" s="2"/>
      <c r="C660" s="2"/>
      <c r="D660" s="14"/>
      <c r="E660" s="6"/>
      <c r="F660" s="3"/>
      <c r="G660" s="6"/>
      <c r="H660" s="6"/>
      <c r="I660" s="3"/>
      <c r="J660" s="6"/>
      <c r="K660" s="3"/>
      <c r="L660" s="6"/>
      <c r="M660" s="6"/>
      <c r="N660" s="3"/>
      <c r="O660" s="6"/>
      <c r="P660" s="3"/>
      <c r="Q660" s="6"/>
      <c r="R660" s="6"/>
      <c r="S660" s="3"/>
      <c r="T660" s="6"/>
      <c r="U660" s="3"/>
      <c r="V660" s="6"/>
      <c r="W660" s="6"/>
      <c r="X660" s="3"/>
      <c r="Y660" s="6"/>
      <c r="Z660" s="3"/>
      <c r="AA660" s="6"/>
      <c r="AB660" s="6"/>
      <c r="AC660" s="3"/>
    </row>
    <row r="661" spans="1:29" ht="15.75" customHeight="1" x14ac:dyDescent="0.2">
      <c r="A661" s="2"/>
      <c r="B661" s="2"/>
      <c r="C661" s="2"/>
      <c r="D661" s="14"/>
      <c r="E661" s="6"/>
      <c r="F661" s="3"/>
      <c r="G661" s="6"/>
      <c r="H661" s="6"/>
      <c r="I661" s="3"/>
      <c r="J661" s="6"/>
      <c r="K661" s="3"/>
      <c r="L661" s="6"/>
      <c r="M661" s="6"/>
      <c r="N661" s="3"/>
      <c r="O661" s="6"/>
      <c r="P661" s="3"/>
      <c r="Q661" s="6"/>
      <c r="R661" s="6"/>
      <c r="S661" s="3"/>
      <c r="T661" s="6"/>
      <c r="U661" s="3"/>
      <c r="V661" s="6"/>
      <c r="W661" s="6"/>
      <c r="X661" s="3"/>
      <c r="Y661" s="6"/>
      <c r="Z661" s="3"/>
      <c r="AA661" s="6"/>
      <c r="AB661" s="6"/>
      <c r="AC661" s="3"/>
    </row>
    <row r="662" spans="1:29" ht="15.75" customHeight="1" x14ac:dyDescent="0.2">
      <c r="A662" s="2"/>
      <c r="B662" s="2"/>
      <c r="C662" s="2"/>
      <c r="D662" s="14"/>
      <c r="E662" s="6"/>
      <c r="F662" s="3"/>
      <c r="G662" s="6"/>
      <c r="H662" s="6"/>
      <c r="I662" s="3"/>
      <c r="J662" s="6"/>
      <c r="K662" s="3"/>
      <c r="L662" s="6"/>
      <c r="M662" s="6"/>
      <c r="N662" s="3"/>
      <c r="O662" s="6"/>
      <c r="P662" s="3"/>
      <c r="Q662" s="6"/>
      <c r="R662" s="6"/>
      <c r="S662" s="3"/>
      <c r="T662" s="6"/>
      <c r="U662" s="3"/>
      <c r="V662" s="6"/>
      <c r="W662" s="6"/>
      <c r="X662" s="3"/>
      <c r="Y662" s="6"/>
      <c r="Z662" s="3"/>
      <c r="AA662" s="6"/>
      <c r="AB662" s="6"/>
      <c r="AC662" s="3"/>
    </row>
    <row r="663" spans="1:29" ht="15.75" customHeight="1" x14ac:dyDescent="0.2">
      <c r="A663" s="2"/>
      <c r="B663" s="2"/>
      <c r="C663" s="2"/>
      <c r="D663" s="14"/>
      <c r="E663" s="6"/>
      <c r="F663" s="3"/>
      <c r="G663" s="6"/>
      <c r="H663" s="6"/>
      <c r="I663" s="3"/>
      <c r="J663" s="6"/>
      <c r="K663" s="3"/>
      <c r="L663" s="6"/>
      <c r="M663" s="6"/>
      <c r="N663" s="3"/>
      <c r="O663" s="6"/>
      <c r="P663" s="3"/>
      <c r="Q663" s="6"/>
      <c r="R663" s="6"/>
      <c r="S663" s="3"/>
      <c r="T663" s="6"/>
      <c r="U663" s="3"/>
      <c r="V663" s="6"/>
      <c r="W663" s="6"/>
      <c r="X663" s="3"/>
      <c r="Y663" s="6"/>
      <c r="Z663" s="3"/>
      <c r="AA663" s="6"/>
      <c r="AB663" s="6"/>
      <c r="AC663" s="3"/>
    </row>
    <row r="664" spans="1:29" ht="15.75" customHeight="1" x14ac:dyDescent="0.2">
      <c r="A664" s="2"/>
      <c r="B664" s="2"/>
      <c r="C664" s="2"/>
      <c r="D664" s="14"/>
      <c r="E664" s="6"/>
      <c r="F664" s="3"/>
      <c r="G664" s="6"/>
      <c r="H664" s="6"/>
      <c r="I664" s="3"/>
      <c r="J664" s="6"/>
      <c r="K664" s="3"/>
      <c r="L664" s="6"/>
      <c r="M664" s="6"/>
      <c r="N664" s="3"/>
      <c r="O664" s="6"/>
      <c r="P664" s="3"/>
      <c r="Q664" s="6"/>
      <c r="R664" s="6"/>
      <c r="S664" s="3"/>
      <c r="T664" s="6"/>
      <c r="U664" s="3"/>
      <c r="V664" s="6"/>
      <c r="W664" s="6"/>
      <c r="X664" s="3"/>
      <c r="Y664" s="6"/>
      <c r="Z664" s="3"/>
      <c r="AA664" s="6"/>
      <c r="AB664" s="6"/>
      <c r="AC664" s="3"/>
    </row>
    <row r="665" spans="1:29" ht="15.75" customHeight="1" x14ac:dyDescent="0.2">
      <c r="A665" s="2"/>
      <c r="B665" s="2"/>
      <c r="C665" s="2"/>
      <c r="D665" s="14"/>
      <c r="E665" s="6"/>
      <c r="F665" s="3"/>
      <c r="G665" s="6"/>
      <c r="H665" s="6"/>
      <c r="I665" s="3"/>
      <c r="J665" s="6"/>
      <c r="K665" s="3"/>
      <c r="L665" s="6"/>
      <c r="M665" s="6"/>
      <c r="N665" s="3"/>
      <c r="O665" s="6"/>
      <c r="P665" s="3"/>
      <c r="Q665" s="6"/>
      <c r="R665" s="6"/>
      <c r="S665" s="3"/>
      <c r="T665" s="6"/>
      <c r="U665" s="3"/>
      <c r="V665" s="6"/>
      <c r="W665" s="6"/>
      <c r="X665" s="3"/>
      <c r="Y665" s="6"/>
      <c r="Z665" s="3"/>
      <c r="AA665" s="6"/>
      <c r="AB665" s="6"/>
      <c r="AC665" s="3"/>
    </row>
    <row r="666" spans="1:29" ht="15.75" customHeight="1" x14ac:dyDescent="0.2">
      <c r="A666" s="2"/>
      <c r="B666" s="2"/>
      <c r="C666" s="2"/>
      <c r="D666" s="14"/>
      <c r="E666" s="6"/>
      <c r="F666" s="3"/>
      <c r="G666" s="6"/>
      <c r="H666" s="6"/>
      <c r="I666" s="3"/>
      <c r="J666" s="6"/>
      <c r="K666" s="3"/>
      <c r="L666" s="6"/>
      <c r="M666" s="6"/>
      <c r="N666" s="3"/>
      <c r="O666" s="6"/>
      <c r="P666" s="3"/>
      <c r="Q666" s="6"/>
      <c r="R666" s="6"/>
      <c r="S666" s="3"/>
      <c r="T666" s="6"/>
      <c r="U666" s="3"/>
      <c r="V666" s="6"/>
      <c r="W666" s="6"/>
      <c r="X666" s="3"/>
      <c r="Y666" s="6"/>
      <c r="Z666" s="3"/>
      <c r="AA666" s="6"/>
      <c r="AB666" s="6"/>
      <c r="AC666" s="3"/>
    </row>
    <row r="667" spans="1:29" ht="15.75" customHeight="1" x14ac:dyDescent="0.2">
      <c r="A667" s="2"/>
      <c r="B667" s="2"/>
      <c r="C667" s="2"/>
      <c r="D667" s="14"/>
      <c r="E667" s="6"/>
      <c r="F667" s="3"/>
      <c r="G667" s="6"/>
      <c r="H667" s="6"/>
      <c r="I667" s="3"/>
      <c r="J667" s="6"/>
      <c r="K667" s="3"/>
      <c r="L667" s="6"/>
      <c r="M667" s="6"/>
      <c r="N667" s="3"/>
      <c r="O667" s="6"/>
      <c r="P667" s="3"/>
      <c r="Q667" s="6"/>
      <c r="R667" s="6"/>
      <c r="S667" s="3"/>
      <c r="T667" s="6"/>
      <c r="U667" s="3"/>
      <c r="V667" s="6"/>
      <c r="W667" s="6"/>
      <c r="X667" s="3"/>
      <c r="Y667" s="6"/>
      <c r="Z667" s="3"/>
      <c r="AA667" s="6"/>
      <c r="AB667" s="6"/>
      <c r="AC667" s="3"/>
    </row>
    <row r="668" spans="1:29" ht="15.75" customHeight="1" x14ac:dyDescent="0.2">
      <c r="A668" s="2"/>
      <c r="B668" s="2"/>
      <c r="C668" s="2"/>
      <c r="D668" s="14"/>
      <c r="E668" s="6"/>
      <c r="F668" s="3"/>
      <c r="G668" s="6"/>
      <c r="H668" s="6"/>
      <c r="I668" s="3"/>
      <c r="J668" s="6"/>
      <c r="K668" s="3"/>
      <c r="L668" s="6"/>
      <c r="M668" s="6"/>
      <c r="N668" s="3"/>
      <c r="O668" s="6"/>
      <c r="P668" s="3"/>
      <c r="Q668" s="6"/>
      <c r="R668" s="6"/>
      <c r="S668" s="3"/>
      <c r="T668" s="6"/>
      <c r="U668" s="3"/>
      <c r="V668" s="6"/>
      <c r="W668" s="6"/>
      <c r="X668" s="3"/>
      <c r="Y668" s="6"/>
      <c r="Z668" s="3"/>
      <c r="AA668" s="6"/>
      <c r="AB668" s="6"/>
      <c r="AC668" s="3"/>
    </row>
    <row r="669" spans="1:29" ht="15.75" customHeight="1" x14ac:dyDescent="0.2">
      <c r="A669" s="2"/>
      <c r="B669" s="2"/>
      <c r="C669" s="2"/>
      <c r="D669" s="14"/>
      <c r="E669" s="6"/>
      <c r="F669" s="3"/>
      <c r="G669" s="6"/>
      <c r="H669" s="6"/>
      <c r="I669" s="3"/>
      <c r="J669" s="6"/>
      <c r="K669" s="3"/>
      <c r="L669" s="6"/>
      <c r="M669" s="6"/>
      <c r="N669" s="3"/>
      <c r="O669" s="6"/>
      <c r="P669" s="3"/>
      <c r="Q669" s="6"/>
      <c r="R669" s="6"/>
      <c r="S669" s="3"/>
      <c r="T669" s="6"/>
      <c r="U669" s="3"/>
      <c r="V669" s="6"/>
      <c r="W669" s="6"/>
      <c r="X669" s="3"/>
      <c r="Y669" s="6"/>
      <c r="Z669" s="3"/>
      <c r="AA669" s="6"/>
      <c r="AB669" s="6"/>
      <c r="AC669" s="3"/>
    </row>
    <row r="670" spans="1:29" ht="15.75" customHeight="1" x14ac:dyDescent="0.2">
      <c r="A670" s="2"/>
      <c r="B670" s="2"/>
      <c r="C670" s="2"/>
      <c r="D670" s="14"/>
      <c r="E670" s="6"/>
      <c r="F670" s="3"/>
      <c r="G670" s="6"/>
      <c r="H670" s="6"/>
      <c r="I670" s="3"/>
      <c r="J670" s="6"/>
      <c r="K670" s="3"/>
      <c r="L670" s="6"/>
      <c r="M670" s="6"/>
      <c r="N670" s="3"/>
      <c r="O670" s="6"/>
      <c r="P670" s="3"/>
      <c r="Q670" s="6"/>
      <c r="R670" s="6"/>
      <c r="S670" s="3"/>
      <c r="T670" s="6"/>
      <c r="U670" s="3"/>
      <c r="V670" s="6"/>
      <c r="W670" s="6"/>
      <c r="X670" s="3"/>
      <c r="Y670" s="6"/>
      <c r="Z670" s="3"/>
      <c r="AA670" s="6"/>
      <c r="AB670" s="6"/>
      <c r="AC670" s="3"/>
    </row>
    <row r="671" spans="1:29" ht="15.75" customHeight="1" x14ac:dyDescent="0.2">
      <c r="A671" s="2"/>
      <c r="B671" s="2"/>
      <c r="C671" s="2"/>
      <c r="D671" s="14"/>
      <c r="E671" s="6"/>
      <c r="F671" s="3"/>
      <c r="G671" s="6"/>
      <c r="H671" s="6"/>
      <c r="I671" s="3"/>
      <c r="J671" s="6"/>
      <c r="K671" s="3"/>
      <c r="L671" s="6"/>
      <c r="M671" s="6"/>
      <c r="N671" s="3"/>
      <c r="O671" s="6"/>
      <c r="P671" s="3"/>
      <c r="Q671" s="6"/>
      <c r="R671" s="6"/>
      <c r="S671" s="3"/>
      <c r="T671" s="6"/>
      <c r="U671" s="3"/>
      <c r="V671" s="6"/>
      <c r="W671" s="6"/>
      <c r="X671" s="3"/>
      <c r="Y671" s="6"/>
      <c r="Z671" s="3"/>
      <c r="AA671" s="6"/>
      <c r="AB671" s="6"/>
      <c r="AC671" s="3"/>
    </row>
    <row r="672" spans="1:29" ht="15.75" customHeight="1" x14ac:dyDescent="0.2">
      <c r="A672" s="2"/>
      <c r="B672" s="2"/>
      <c r="C672" s="2"/>
      <c r="D672" s="14"/>
      <c r="E672" s="6"/>
      <c r="F672" s="3"/>
      <c r="G672" s="6"/>
      <c r="H672" s="6"/>
      <c r="I672" s="3"/>
      <c r="J672" s="6"/>
      <c r="K672" s="3"/>
      <c r="L672" s="6"/>
      <c r="M672" s="6"/>
      <c r="N672" s="3"/>
      <c r="O672" s="6"/>
      <c r="P672" s="3"/>
      <c r="Q672" s="6"/>
      <c r="R672" s="6"/>
      <c r="S672" s="3"/>
      <c r="T672" s="6"/>
      <c r="U672" s="3"/>
      <c r="V672" s="6"/>
      <c r="W672" s="6"/>
      <c r="X672" s="3"/>
      <c r="Y672" s="6"/>
      <c r="Z672" s="3"/>
      <c r="AA672" s="6"/>
      <c r="AB672" s="6"/>
      <c r="AC672" s="3"/>
    </row>
    <row r="673" spans="1:29" ht="15.75" customHeight="1" x14ac:dyDescent="0.2">
      <c r="A673" s="2"/>
      <c r="B673" s="2"/>
      <c r="C673" s="2"/>
      <c r="D673" s="14"/>
      <c r="E673" s="6"/>
      <c r="F673" s="3"/>
      <c r="G673" s="6"/>
      <c r="H673" s="6"/>
      <c r="I673" s="3"/>
      <c r="J673" s="6"/>
      <c r="K673" s="3"/>
      <c r="L673" s="6"/>
      <c r="M673" s="6"/>
      <c r="N673" s="3"/>
      <c r="O673" s="6"/>
      <c r="P673" s="3"/>
      <c r="Q673" s="6"/>
      <c r="R673" s="6"/>
      <c r="S673" s="3"/>
      <c r="T673" s="6"/>
      <c r="U673" s="3"/>
      <c r="V673" s="6"/>
      <c r="W673" s="6"/>
      <c r="X673" s="3"/>
      <c r="Y673" s="6"/>
      <c r="Z673" s="3"/>
      <c r="AA673" s="6"/>
      <c r="AB673" s="6"/>
      <c r="AC673" s="3"/>
    </row>
    <row r="674" spans="1:29" ht="15.75" customHeight="1" x14ac:dyDescent="0.2">
      <c r="A674" s="2"/>
      <c r="B674" s="2"/>
      <c r="C674" s="2"/>
      <c r="D674" s="14"/>
      <c r="E674" s="6"/>
      <c r="F674" s="3"/>
      <c r="G674" s="6"/>
      <c r="H674" s="6"/>
      <c r="I674" s="3"/>
      <c r="J674" s="6"/>
      <c r="K674" s="3"/>
      <c r="L674" s="6"/>
      <c r="M674" s="6"/>
      <c r="N674" s="3"/>
      <c r="O674" s="6"/>
      <c r="P674" s="3"/>
      <c r="Q674" s="6"/>
      <c r="R674" s="6"/>
      <c r="S674" s="3"/>
      <c r="T674" s="6"/>
      <c r="U674" s="3"/>
      <c r="V674" s="6"/>
      <c r="W674" s="6"/>
      <c r="X674" s="3"/>
      <c r="Y674" s="6"/>
      <c r="Z674" s="3"/>
      <c r="AA674" s="6"/>
      <c r="AB674" s="6"/>
      <c r="AC674" s="3"/>
    </row>
    <row r="675" spans="1:29" ht="15.75" customHeight="1" x14ac:dyDescent="0.2">
      <c r="A675" s="2"/>
      <c r="B675" s="2"/>
      <c r="C675" s="2"/>
      <c r="D675" s="14"/>
      <c r="E675" s="6"/>
      <c r="F675" s="3"/>
      <c r="G675" s="6"/>
      <c r="H675" s="6"/>
      <c r="I675" s="3"/>
      <c r="J675" s="6"/>
      <c r="K675" s="3"/>
      <c r="L675" s="6"/>
      <c r="M675" s="6"/>
      <c r="N675" s="3"/>
      <c r="O675" s="6"/>
      <c r="P675" s="3"/>
      <c r="Q675" s="6"/>
      <c r="R675" s="6"/>
      <c r="S675" s="3"/>
      <c r="T675" s="6"/>
      <c r="U675" s="3"/>
      <c r="V675" s="6"/>
      <c r="W675" s="6"/>
      <c r="X675" s="3"/>
      <c r="Y675" s="6"/>
      <c r="Z675" s="3"/>
      <c r="AA675" s="6"/>
      <c r="AB675" s="6"/>
      <c r="AC675" s="3"/>
    </row>
    <row r="676" spans="1:29" ht="15.75" customHeight="1" x14ac:dyDescent="0.2">
      <c r="A676" s="2"/>
      <c r="B676" s="2"/>
      <c r="C676" s="2"/>
      <c r="D676" s="14"/>
      <c r="E676" s="6"/>
      <c r="F676" s="3"/>
      <c r="G676" s="6"/>
      <c r="H676" s="6"/>
      <c r="I676" s="3"/>
      <c r="J676" s="6"/>
      <c r="K676" s="3"/>
      <c r="L676" s="6"/>
      <c r="M676" s="6"/>
      <c r="N676" s="3"/>
      <c r="O676" s="6"/>
      <c r="P676" s="3"/>
      <c r="Q676" s="6"/>
      <c r="R676" s="6"/>
      <c r="S676" s="3"/>
      <c r="T676" s="6"/>
      <c r="U676" s="3"/>
      <c r="V676" s="6"/>
      <c r="W676" s="6"/>
      <c r="X676" s="3"/>
      <c r="Y676" s="6"/>
      <c r="Z676" s="3"/>
      <c r="AA676" s="6"/>
      <c r="AB676" s="6"/>
      <c r="AC676" s="3"/>
    </row>
    <row r="677" spans="1:29" ht="15.75" customHeight="1" x14ac:dyDescent="0.2">
      <c r="A677" s="2"/>
      <c r="B677" s="2"/>
      <c r="C677" s="2"/>
      <c r="D677" s="14"/>
      <c r="E677" s="6"/>
      <c r="F677" s="3"/>
      <c r="G677" s="6"/>
      <c r="H677" s="6"/>
      <c r="I677" s="3"/>
      <c r="J677" s="6"/>
      <c r="K677" s="3"/>
      <c r="L677" s="6"/>
      <c r="M677" s="6"/>
      <c r="N677" s="3"/>
      <c r="O677" s="6"/>
      <c r="P677" s="3"/>
      <c r="Q677" s="6"/>
      <c r="R677" s="6"/>
      <c r="S677" s="3"/>
      <c r="T677" s="6"/>
      <c r="U677" s="3"/>
      <c r="V677" s="6"/>
      <c r="W677" s="6"/>
      <c r="X677" s="3"/>
      <c r="Y677" s="6"/>
      <c r="Z677" s="3"/>
      <c r="AA677" s="6"/>
      <c r="AB677" s="6"/>
      <c r="AC677" s="3"/>
    </row>
    <row r="678" spans="1:29" ht="15.75" customHeight="1" x14ac:dyDescent="0.2">
      <c r="A678" s="2"/>
      <c r="B678" s="2"/>
      <c r="C678" s="2"/>
      <c r="D678" s="14"/>
      <c r="E678" s="6"/>
      <c r="F678" s="3"/>
      <c r="G678" s="6"/>
      <c r="H678" s="6"/>
      <c r="I678" s="3"/>
      <c r="J678" s="6"/>
      <c r="K678" s="3"/>
      <c r="L678" s="6"/>
      <c r="M678" s="6"/>
      <c r="N678" s="3"/>
      <c r="O678" s="6"/>
      <c r="P678" s="3"/>
      <c r="Q678" s="6"/>
      <c r="R678" s="6"/>
      <c r="S678" s="3"/>
      <c r="T678" s="6"/>
      <c r="U678" s="3"/>
      <c r="V678" s="6"/>
      <c r="W678" s="6"/>
      <c r="X678" s="3"/>
      <c r="Y678" s="6"/>
      <c r="Z678" s="3"/>
      <c r="AA678" s="6"/>
      <c r="AB678" s="6"/>
      <c r="AC678" s="3"/>
    </row>
    <row r="679" spans="1:29" ht="15.75" customHeight="1" x14ac:dyDescent="0.2">
      <c r="A679" s="2"/>
      <c r="B679" s="2"/>
      <c r="C679" s="2"/>
      <c r="D679" s="14"/>
      <c r="E679" s="6"/>
      <c r="F679" s="3"/>
      <c r="G679" s="6"/>
      <c r="H679" s="6"/>
      <c r="I679" s="3"/>
      <c r="J679" s="6"/>
      <c r="K679" s="3"/>
      <c r="L679" s="6"/>
      <c r="M679" s="6"/>
      <c r="N679" s="3"/>
      <c r="O679" s="6"/>
      <c r="P679" s="3"/>
      <c r="Q679" s="6"/>
      <c r="R679" s="6"/>
      <c r="S679" s="3"/>
      <c r="T679" s="6"/>
      <c r="U679" s="3"/>
      <c r="V679" s="6"/>
      <c r="W679" s="6"/>
      <c r="X679" s="3"/>
      <c r="Y679" s="6"/>
      <c r="Z679" s="3"/>
      <c r="AA679" s="6"/>
      <c r="AB679" s="6"/>
      <c r="AC679" s="3"/>
    </row>
    <row r="680" spans="1:29" ht="15.75" customHeight="1" x14ac:dyDescent="0.2">
      <c r="A680" s="2"/>
      <c r="B680" s="2"/>
      <c r="C680" s="2"/>
      <c r="D680" s="14"/>
      <c r="E680" s="6"/>
      <c r="F680" s="3"/>
      <c r="G680" s="6"/>
      <c r="H680" s="6"/>
      <c r="I680" s="3"/>
      <c r="J680" s="6"/>
      <c r="K680" s="3"/>
      <c r="L680" s="6"/>
      <c r="M680" s="6"/>
      <c r="N680" s="3"/>
      <c r="O680" s="6"/>
      <c r="P680" s="3"/>
      <c r="Q680" s="6"/>
      <c r="R680" s="6"/>
      <c r="S680" s="3"/>
      <c r="T680" s="6"/>
      <c r="U680" s="3"/>
      <c r="V680" s="6"/>
      <c r="W680" s="6"/>
      <c r="X680" s="3"/>
      <c r="Y680" s="6"/>
      <c r="Z680" s="3"/>
      <c r="AA680" s="6"/>
      <c r="AB680" s="6"/>
      <c r="AC680" s="3"/>
    </row>
    <row r="681" spans="1:29" ht="15.75" customHeight="1" x14ac:dyDescent="0.2">
      <c r="A681" s="2"/>
      <c r="B681" s="2"/>
      <c r="C681" s="2"/>
      <c r="D681" s="14"/>
      <c r="E681" s="6"/>
      <c r="F681" s="3"/>
      <c r="G681" s="6"/>
      <c r="H681" s="6"/>
      <c r="I681" s="3"/>
      <c r="J681" s="6"/>
      <c r="K681" s="3"/>
      <c r="L681" s="6"/>
      <c r="M681" s="6"/>
      <c r="N681" s="3"/>
      <c r="O681" s="6"/>
      <c r="P681" s="3"/>
      <c r="Q681" s="6"/>
      <c r="R681" s="6"/>
      <c r="S681" s="3"/>
      <c r="T681" s="6"/>
      <c r="U681" s="3"/>
      <c r="V681" s="6"/>
      <c r="W681" s="6"/>
      <c r="X681" s="3"/>
      <c r="Y681" s="6"/>
      <c r="Z681" s="3"/>
      <c r="AA681" s="6"/>
      <c r="AB681" s="6"/>
      <c r="AC681" s="3"/>
    </row>
    <row r="682" spans="1:29" ht="15.75" customHeight="1" x14ac:dyDescent="0.2">
      <c r="A682" s="2"/>
      <c r="B682" s="2"/>
      <c r="C682" s="2"/>
      <c r="D682" s="14"/>
      <c r="E682" s="6"/>
      <c r="F682" s="3"/>
      <c r="G682" s="6"/>
      <c r="H682" s="6"/>
      <c r="I682" s="3"/>
      <c r="J682" s="6"/>
      <c r="K682" s="3"/>
      <c r="L682" s="6"/>
      <c r="M682" s="6"/>
      <c r="N682" s="3"/>
      <c r="O682" s="6"/>
      <c r="P682" s="3"/>
      <c r="Q682" s="6"/>
      <c r="R682" s="6"/>
      <c r="S682" s="3"/>
      <c r="T682" s="6"/>
      <c r="U682" s="3"/>
      <c r="V682" s="6"/>
      <c r="W682" s="6"/>
      <c r="X682" s="3"/>
      <c r="Y682" s="6"/>
      <c r="Z682" s="3"/>
      <c r="AA682" s="6"/>
      <c r="AB682" s="6"/>
      <c r="AC682" s="3"/>
    </row>
    <row r="683" spans="1:29" ht="15.75" customHeight="1" x14ac:dyDescent="0.2">
      <c r="A683" s="2"/>
      <c r="B683" s="2"/>
      <c r="C683" s="2"/>
      <c r="D683" s="14"/>
      <c r="E683" s="6"/>
      <c r="F683" s="3"/>
      <c r="G683" s="6"/>
      <c r="H683" s="6"/>
      <c r="I683" s="3"/>
      <c r="J683" s="6"/>
      <c r="K683" s="3"/>
      <c r="L683" s="6"/>
      <c r="M683" s="6"/>
      <c r="N683" s="3"/>
      <c r="O683" s="6"/>
      <c r="P683" s="3"/>
      <c r="Q683" s="6"/>
      <c r="R683" s="6"/>
      <c r="S683" s="3"/>
      <c r="T683" s="6"/>
      <c r="U683" s="3"/>
      <c r="V683" s="6"/>
      <c r="W683" s="6"/>
      <c r="X683" s="3"/>
      <c r="Y683" s="6"/>
      <c r="Z683" s="3"/>
      <c r="AA683" s="6"/>
      <c r="AB683" s="6"/>
      <c r="AC683" s="3"/>
    </row>
    <row r="684" spans="1:29" ht="15.75" customHeight="1" x14ac:dyDescent="0.2">
      <c r="A684" s="2"/>
      <c r="B684" s="2"/>
      <c r="C684" s="2"/>
      <c r="D684" s="14"/>
      <c r="E684" s="6"/>
      <c r="F684" s="3"/>
      <c r="G684" s="6"/>
      <c r="H684" s="6"/>
      <c r="I684" s="3"/>
      <c r="J684" s="6"/>
      <c r="K684" s="3"/>
      <c r="L684" s="6"/>
      <c r="M684" s="6"/>
      <c r="N684" s="3"/>
      <c r="O684" s="6"/>
      <c r="P684" s="3"/>
      <c r="Q684" s="6"/>
      <c r="R684" s="6"/>
      <c r="S684" s="3"/>
      <c r="T684" s="6"/>
      <c r="U684" s="3"/>
      <c r="V684" s="6"/>
      <c r="W684" s="6"/>
      <c r="X684" s="3"/>
      <c r="Y684" s="6"/>
      <c r="Z684" s="3"/>
      <c r="AA684" s="6"/>
      <c r="AB684" s="6"/>
      <c r="AC684" s="3"/>
    </row>
    <row r="685" spans="1:29" ht="15.75" customHeight="1" x14ac:dyDescent="0.2">
      <c r="A685" s="2"/>
      <c r="B685" s="2"/>
      <c r="C685" s="2"/>
      <c r="D685" s="14"/>
      <c r="E685" s="6"/>
      <c r="F685" s="3"/>
      <c r="G685" s="6"/>
      <c r="H685" s="6"/>
      <c r="I685" s="3"/>
      <c r="J685" s="6"/>
      <c r="K685" s="3"/>
      <c r="L685" s="6"/>
      <c r="M685" s="6"/>
      <c r="N685" s="3"/>
      <c r="O685" s="6"/>
      <c r="P685" s="3"/>
      <c r="Q685" s="6"/>
      <c r="R685" s="6"/>
      <c r="S685" s="3"/>
      <c r="T685" s="6"/>
      <c r="U685" s="3"/>
      <c r="V685" s="6"/>
      <c r="W685" s="6"/>
      <c r="X685" s="3"/>
      <c r="Y685" s="6"/>
      <c r="Z685" s="3"/>
      <c r="AA685" s="6"/>
      <c r="AB685" s="6"/>
      <c r="AC685" s="3"/>
    </row>
    <row r="686" spans="1:29" ht="15.75" customHeight="1" x14ac:dyDescent="0.2">
      <c r="A686" s="2"/>
      <c r="B686" s="2"/>
      <c r="C686" s="2"/>
      <c r="D686" s="14"/>
      <c r="E686" s="6"/>
      <c r="F686" s="3"/>
      <c r="G686" s="6"/>
      <c r="H686" s="6"/>
      <c r="I686" s="3"/>
      <c r="J686" s="6"/>
      <c r="K686" s="3"/>
      <c r="L686" s="6"/>
      <c r="M686" s="6"/>
      <c r="N686" s="3"/>
      <c r="O686" s="6"/>
      <c r="P686" s="3"/>
      <c r="Q686" s="6"/>
      <c r="R686" s="6"/>
      <c r="S686" s="3"/>
      <c r="T686" s="6"/>
      <c r="U686" s="3"/>
      <c r="V686" s="6"/>
      <c r="W686" s="6"/>
      <c r="X686" s="3"/>
      <c r="Y686" s="6"/>
      <c r="Z686" s="3"/>
      <c r="AA686" s="6"/>
      <c r="AB686" s="6"/>
      <c r="AC686" s="3"/>
    </row>
    <row r="687" spans="1:29" ht="15.75" customHeight="1" x14ac:dyDescent="0.2">
      <c r="A687" s="2"/>
      <c r="B687" s="2"/>
      <c r="C687" s="2"/>
      <c r="D687" s="14"/>
      <c r="E687" s="6"/>
      <c r="F687" s="3"/>
      <c r="G687" s="6"/>
      <c r="H687" s="6"/>
      <c r="I687" s="3"/>
      <c r="J687" s="6"/>
      <c r="K687" s="3"/>
      <c r="L687" s="6"/>
      <c r="M687" s="6"/>
      <c r="N687" s="3"/>
      <c r="O687" s="6"/>
      <c r="P687" s="3"/>
      <c r="Q687" s="6"/>
      <c r="R687" s="6"/>
      <c r="S687" s="3"/>
      <c r="T687" s="6"/>
      <c r="U687" s="3"/>
      <c r="V687" s="6"/>
      <c r="W687" s="6"/>
      <c r="X687" s="3"/>
      <c r="Y687" s="6"/>
      <c r="Z687" s="3"/>
      <c r="AA687" s="6"/>
      <c r="AB687" s="6"/>
      <c r="AC687" s="3"/>
    </row>
    <row r="688" spans="1:29" ht="15.75" customHeight="1" x14ac:dyDescent="0.2">
      <c r="A688" s="2"/>
      <c r="B688" s="2"/>
      <c r="C688" s="2"/>
      <c r="D688" s="14"/>
      <c r="E688" s="6"/>
      <c r="F688" s="3"/>
      <c r="G688" s="6"/>
      <c r="H688" s="6"/>
      <c r="I688" s="3"/>
      <c r="J688" s="6"/>
      <c r="K688" s="3"/>
      <c r="L688" s="6"/>
      <c r="M688" s="6"/>
      <c r="N688" s="3"/>
      <c r="O688" s="6"/>
      <c r="P688" s="3"/>
      <c r="Q688" s="6"/>
      <c r="R688" s="6"/>
      <c r="S688" s="3"/>
      <c r="T688" s="6"/>
      <c r="U688" s="3"/>
      <c r="V688" s="6"/>
      <c r="W688" s="6"/>
      <c r="X688" s="3"/>
      <c r="Y688" s="6"/>
      <c r="Z688" s="3"/>
      <c r="AA688" s="6"/>
      <c r="AB688" s="6"/>
      <c r="AC688" s="3"/>
    </row>
    <row r="689" spans="1:29" ht="15.75" customHeight="1" x14ac:dyDescent="0.2">
      <c r="A689" s="2"/>
      <c r="B689" s="2"/>
      <c r="C689" s="2"/>
      <c r="D689" s="14"/>
      <c r="E689" s="6"/>
      <c r="F689" s="3"/>
      <c r="G689" s="6"/>
      <c r="H689" s="6"/>
      <c r="I689" s="3"/>
      <c r="J689" s="6"/>
      <c r="K689" s="3"/>
      <c r="L689" s="6"/>
      <c r="M689" s="6"/>
      <c r="N689" s="3"/>
      <c r="O689" s="6"/>
      <c r="P689" s="3"/>
      <c r="Q689" s="6"/>
      <c r="R689" s="6"/>
      <c r="S689" s="3"/>
      <c r="T689" s="6"/>
      <c r="U689" s="3"/>
      <c r="V689" s="6"/>
      <c r="W689" s="6"/>
      <c r="X689" s="3"/>
      <c r="Y689" s="6"/>
      <c r="Z689" s="3"/>
      <c r="AA689" s="6"/>
      <c r="AB689" s="6"/>
      <c r="AC689" s="3"/>
    </row>
    <row r="690" spans="1:29" ht="15.75" customHeight="1" x14ac:dyDescent="0.2">
      <c r="A690" s="2"/>
      <c r="B690" s="2"/>
      <c r="C690" s="2"/>
      <c r="D690" s="14"/>
      <c r="E690" s="6"/>
      <c r="F690" s="3"/>
      <c r="G690" s="6"/>
      <c r="H690" s="6"/>
      <c r="I690" s="3"/>
      <c r="J690" s="6"/>
      <c r="K690" s="3"/>
      <c r="L690" s="6"/>
      <c r="M690" s="6"/>
      <c r="N690" s="3"/>
      <c r="O690" s="6"/>
      <c r="P690" s="3"/>
      <c r="Q690" s="6"/>
      <c r="R690" s="6"/>
      <c r="S690" s="3"/>
      <c r="T690" s="6"/>
      <c r="U690" s="3"/>
      <c r="V690" s="6"/>
      <c r="W690" s="6"/>
      <c r="X690" s="3"/>
      <c r="Y690" s="6"/>
      <c r="Z690" s="3"/>
      <c r="AA690" s="6"/>
      <c r="AB690" s="6"/>
      <c r="AC690" s="3"/>
    </row>
    <row r="691" spans="1:29" ht="15.75" customHeight="1" x14ac:dyDescent="0.2">
      <c r="A691" s="2"/>
      <c r="B691" s="2"/>
      <c r="C691" s="2"/>
      <c r="D691" s="14"/>
      <c r="E691" s="6"/>
      <c r="F691" s="3"/>
      <c r="G691" s="6"/>
      <c r="H691" s="6"/>
      <c r="I691" s="3"/>
      <c r="J691" s="6"/>
      <c r="K691" s="3"/>
      <c r="L691" s="6"/>
      <c r="M691" s="6"/>
      <c r="N691" s="3"/>
      <c r="O691" s="6"/>
      <c r="P691" s="3"/>
      <c r="Q691" s="6"/>
      <c r="R691" s="6"/>
      <c r="S691" s="3"/>
      <c r="T691" s="6"/>
      <c r="U691" s="3"/>
      <c r="V691" s="6"/>
      <c r="W691" s="6"/>
      <c r="X691" s="3"/>
      <c r="Y691" s="6"/>
      <c r="Z691" s="3"/>
      <c r="AA691" s="6"/>
      <c r="AB691" s="6"/>
      <c r="AC691" s="3"/>
    </row>
    <row r="692" spans="1:29" ht="15.75" customHeight="1" x14ac:dyDescent="0.2">
      <c r="A692" s="2"/>
      <c r="B692" s="2"/>
      <c r="C692" s="2"/>
      <c r="D692" s="14"/>
      <c r="E692" s="6"/>
      <c r="F692" s="3"/>
      <c r="G692" s="6"/>
      <c r="H692" s="6"/>
      <c r="I692" s="3"/>
      <c r="J692" s="6"/>
      <c r="K692" s="3"/>
      <c r="L692" s="6"/>
      <c r="M692" s="6"/>
      <c r="N692" s="3"/>
      <c r="O692" s="6"/>
      <c r="P692" s="3"/>
      <c r="Q692" s="6"/>
      <c r="R692" s="6"/>
      <c r="S692" s="3"/>
      <c r="T692" s="6"/>
      <c r="U692" s="3"/>
      <c r="V692" s="6"/>
      <c r="W692" s="6"/>
      <c r="X692" s="3"/>
      <c r="Y692" s="6"/>
      <c r="Z692" s="3"/>
      <c r="AA692" s="6"/>
      <c r="AB692" s="6"/>
      <c r="AC692" s="3"/>
    </row>
    <row r="693" spans="1:29" ht="15.75" customHeight="1" x14ac:dyDescent="0.2">
      <c r="A693" s="2"/>
      <c r="B693" s="2"/>
      <c r="C693" s="2"/>
      <c r="D693" s="14"/>
      <c r="E693" s="6"/>
      <c r="F693" s="3"/>
      <c r="G693" s="6"/>
      <c r="H693" s="6"/>
      <c r="I693" s="3"/>
      <c r="J693" s="6"/>
      <c r="K693" s="3"/>
      <c r="L693" s="6"/>
      <c r="M693" s="6"/>
      <c r="N693" s="3"/>
      <c r="O693" s="6"/>
      <c r="P693" s="3"/>
      <c r="Q693" s="6"/>
      <c r="R693" s="6"/>
      <c r="S693" s="3"/>
      <c r="T693" s="6"/>
      <c r="U693" s="3"/>
      <c r="V693" s="6"/>
      <c r="W693" s="6"/>
      <c r="X693" s="3"/>
      <c r="Y693" s="6"/>
      <c r="Z693" s="3"/>
      <c r="AA693" s="6"/>
      <c r="AB693" s="6"/>
      <c r="AC693" s="3"/>
    </row>
    <row r="694" spans="1:29" ht="15.75" customHeight="1" x14ac:dyDescent="0.2">
      <c r="A694" s="2"/>
      <c r="B694" s="2"/>
      <c r="C694" s="2"/>
      <c r="D694" s="14"/>
      <c r="E694" s="6"/>
      <c r="F694" s="3"/>
      <c r="G694" s="6"/>
      <c r="H694" s="6"/>
      <c r="I694" s="3"/>
      <c r="J694" s="6"/>
      <c r="K694" s="3"/>
      <c r="L694" s="6"/>
      <c r="M694" s="6"/>
      <c r="N694" s="3"/>
      <c r="O694" s="6"/>
      <c r="P694" s="3"/>
      <c r="Q694" s="6"/>
      <c r="R694" s="6"/>
      <c r="S694" s="3"/>
      <c r="T694" s="6"/>
      <c r="U694" s="3"/>
      <c r="V694" s="6"/>
      <c r="W694" s="6"/>
      <c r="X694" s="3"/>
      <c r="Y694" s="6"/>
      <c r="Z694" s="3"/>
      <c r="AA694" s="6"/>
      <c r="AB694" s="6"/>
      <c r="AC694" s="3"/>
    </row>
    <row r="695" spans="1:29" ht="15.75" customHeight="1" x14ac:dyDescent="0.2">
      <c r="A695" s="2"/>
      <c r="B695" s="2"/>
      <c r="C695" s="2"/>
      <c r="D695" s="14"/>
      <c r="E695" s="6"/>
      <c r="F695" s="3"/>
      <c r="G695" s="6"/>
      <c r="H695" s="6"/>
      <c r="I695" s="3"/>
      <c r="J695" s="6"/>
      <c r="K695" s="3"/>
      <c r="L695" s="6"/>
      <c r="M695" s="6"/>
      <c r="N695" s="3"/>
      <c r="O695" s="6"/>
      <c r="P695" s="3"/>
      <c r="Q695" s="6"/>
      <c r="R695" s="6"/>
      <c r="S695" s="3"/>
      <c r="T695" s="6"/>
      <c r="U695" s="3"/>
      <c r="V695" s="6"/>
      <c r="W695" s="6"/>
      <c r="X695" s="3"/>
      <c r="Y695" s="6"/>
      <c r="Z695" s="3"/>
      <c r="AA695" s="6"/>
      <c r="AB695" s="6"/>
      <c r="AC695" s="3"/>
    </row>
    <row r="696" spans="1:29" ht="15.75" customHeight="1" x14ac:dyDescent="0.2">
      <c r="A696" s="2"/>
      <c r="B696" s="2"/>
      <c r="C696" s="2"/>
      <c r="D696" s="14"/>
      <c r="E696" s="6"/>
      <c r="F696" s="3"/>
      <c r="G696" s="6"/>
      <c r="H696" s="6"/>
      <c r="I696" s="3"/>
      <c r="J696" s="6"/>
      <c r="K696" s="3"/>
      <c r="L696" s="6"/>
      <c r="M696" s="6"/>
      <c r="N696" s="3"/>
      <c r="O696" s="6"/>
      <c r="P696" s="3"/>
      <c r="Q696" s="6"/>
      <c r="R696" s="6"/>
      <c r="S696" s="3"/>
      <c r="T696" s="6"/>
      <c r="U696" s="3"/>
      <c r="V696" s="6"/>
      <c r="W696" s="6"/>
      <c r="X696" s="3"/>
      <c r="Y696" s="6"/>
      <c r="Z696" s="3"/>
      <c r="AA696" s="6"/>
      <c r="AB696" s="6"/>
      <c r="AC696" s="3"/>
    </row>
    <row r="697" spans="1:29" ht="15.75" customHeight="1" x14ac:dyDescent="0.2">
      <c r="A697" s="2"/>
      <c r="B697" s="2"/>
      <c r="C697" s="2"/>
      <c r="D697" s="14"/>
      <c r="E697" s="6"/>
      <c r="F697" s="3"/>
      <c r="G697" s="6"/>
      <c r="H697" s="6"/>
      <c r="I697" s="3"/>
      <c r="J697" s="6"/>
      <c r="K697" s="3"/>
      <c r="L697" s="6"/>
      <c r="M697" s="6"/>
      <c r="N697" s="3"/>
      <c r="O697" s="6"/>
      <c r="P697" s="3"/>
      <c r="Q697" s="6"/>
      <c r="R697" s="6"/>
      <c r="S697" s="3"/>
      <c r="T697" s="6"/>
      <c r="U697" s="3"/>
      <c r="V697" s="6"/>
      <c r="W697" s="6"/>
      <c r="X697" s="3"/>
      <c r="Y697" s="6"/>
      <c r="Z697" s="3"/>
      <c r="AA697" s="6"/>
      <c r="AB697" s="6"/>
      <c r="AC697" s="3"/>
    </row>
    <row r="698" spans="1:29" ht="15.75" customHeight="1" x14ac:dyDescent="0.2">
      <c r="A698" s="2"/>
      <c r="B698" s="2"/>
      <c r="C698" s="2"/>
      <c r="D698" s="14"/>
      <c r="E698" s="6"/>
      <c r="F698" s="3"/>
      <c r="G698" s="6"/>
      <c r="H698" s="6"/>
      <c r="I698" s="3"/>
      <c r="J698" s="6"/>
      <c r="K698" s="3"/>
      <c r="L698" s="6"/>
      <c r="M698" s="6"/>
      <c r="N698" s="3"/>
      <c r="O698" s="6"/>
      <c r="P698" s="3"/>
      <c r="Q698" s="6"/>
      <c r="R698" s="6"/>
      <c r="S698" s="3"/>
      <c r="T698" s="6"/>
      <c r="U698" s="3"/>
      <c r="V698" s="6"/>
      <c r="W698" s="6"/>
      <c r="X698" s="3"/>
      <c r="Y698" s="6"/>
      <c r="Z698" s="3"/>
      <c r="AA698" s="6"/>
      <c r="AB698" s="6"/>
      <c r="AC698" s="3"/>
    </row>
    <row r="699" spans="1:29" ht="15.75" customHeight="1" x14ac:dyDescent="0.2">
      <c r="A699" s="2"/>
      <c r="B699" s="2"/>
      <c r="C699" s="2"/>
      <c r="D699" s="14"/>
      <c r="E699" s="6"/>
      <c r="F699" s="3"/>
      <c r="G699" s="6"/>
      <c r="H699" s="6"/>
      <c r="I699" s="3"/>
      <c r="J699" s="6"/>
      <c r="K699" s="3"/>
      <c r="L699" s="6"/>
      <c r="M699" s="6"/>
      <c r="N699" s="3"/>
      <c r="O699" s="6"/>
      <c r="P699" s="3"/>
      <c r="Q699" s="6"/>
      <c r="R699" s="6"/>
      <c r="S699" s="3"/>
      <c r="T699" s="6"/>
      <c r="U699" s="3"/>
      <c r="V699" s="6"/>
      <c r="W699" s="6"/>
      <c r="X699" s="3"/>
      <c r="Y699" s="6"/>
      <c r="Z699" s="3"/>
      <c r="AA699" s="6"/>
      <c r="AB699" s="6"/>
      <c r="AC699" s="3"/>
    </row>
    <row r="700" spans="1:29" ht="15.75" customHeight="1" x14ac:dyDescent="0.2">
      <c r="A700" s="2"/>
      <c r="B700" s="2"/>
      <c r="C700" s="2"/>
      <c r="D700" s="14"/>
      <c r="E700" s="6"/>
      <c r="F700" s="3"/>
      <c r="G700" s="6"/>
      <c r="H700" s="6"/>
      <c r="I700" s="3"/>
      <c r="J700" s="6"/>
      <c r="K700" s="3"/>
      <c r="L700" s="6"/>
      <c r="M700" s="6"/>
      <c r="N700" s="3"/>
      <c r="O700" s="6"/>
      <c r="P700" s="3"/>
      <c r="Q700" s="6"/>
      <c r="R700" s="6"/>
      <c r="S700" s="3"/>
      <c r="T700" s="6"/>
      <c r="U700" s="3"/>
      <c r="V700" s="6"/>
      <c r="W700" s="6"/>
      <c r="X700" s="3"/>
      <c r="Y700" s="6"/>
      <c r="Z700" s="3"/>
      <c r="AA700" s="6"/>
      <c r="AB700" s="6"/>
      <c r="AC700" s="3"/>
    </row>
    <row r="701" spans="1:29" ht="15.75" customHeight="1" x14ac:dyDescent="0.2">
      <c r="A701" s="2"/>
      <c r="B701" s="2"/>
      <c r="C701" s="2"/>
      <c r="D701" s="14"/>
      <c r="E701" s="6"/>
      <c r="F701" s="3"/>
      <c r="G701" s="6"/>
      <c r="H701" s="6"/>
      <c r="I701" s="3"/>
      <c r="J701" s="6"/>
      <c r="K701" s="3"/>
      <c r="L701" s="6"/>
      <c r="M701" s="6"/>
      <c r="N701" s="3"/>
      <c r="O701" s="6"/>
      <c r="P701" s="3"/>
      <c r="Q701" s="6"/>
      <c r="R701" s="6"/>
      <c r="S701" s="3"/>
      <c r="T701" s="6"/>
      <c r="U701" s="3"/>
      <c r="V701" s="6"/>
      <c r="W701" s="6"/>
      <c r="X701" s="3"/>
      <c r="Y701" s="6"/>
      <c r="Z701" s="3"/>
      <c r="AA701" s="6"/>
      <c r="AB701" s="6"/>
      <c r="AC701" s="3"/>
    </row>
    <row r="702" spans="1:29" ht="15.75" customHeight="1" x14ac:dyDescent="0.2">
      <c r="A702" s="2"/>
      <c r="B702" s="2"/>
      <c r="C702" s="2"/>
      <c r="D702" s="14"/>
      <c r="E702" s="6"/>
      <c r="F702" s="3"/>
      <c r="G702" s="6"/>
      <c r="H702" s="6"/>
      <c r="I702" s="3"/>
      <c r="J702" s="6"/>
      <c r="K702" s="3"/>
      <c r="L702" s="6"/>
      <c r="M702" s="6"/>
      <c r="N702" s="3"/>
      <c r="O702" s="6"/>
      <c r="P702" s="3"/>
      <c r="Q702" s="6"/>
      <c r="R702" s="6"/>
      <c r="S702" s="3"/>
      <c r="T702" s="6"/>
      <c r="U702" s="3"/>
      <c r="V702" s="6"/>
      <c r="W702" s="6"/>
      <c r="X702" s="3"/>
      <c r="Y702" s="6"/>
      <c r="Z702" s="3"/>
      <c r="AA702" s="6"/>
      <c r="AB702" s="6"/>
      <c r="AC702" s="3"/>
    </row>
    <row r="703" spans="1:29" ht="15.75" customHeight="1" x14ac:dyDescent="0.2">
      <c r="A703" s="2"/>
      <c r="B703" s="2"/>
      <c r="C703" s="2"/>
      <c r="D703" s="14"/>
      <c r="E703" s="6"/>
      <c r="F703" s="3"/>
      <c r="G703" s="6"/>
      <c r="H703" s="6"/>
      <c r="I703" s="3"/>
      <c r="J703" s="6"/>
      <c r="K703" s="3"/>
      <c r="L703" s="6"/>
      <c r="M703" s="6"/>
      <c r="N703" s="3"/>
      <c r="O703" s="6"/>
      <c r="P703" s="3"/>
      <c r="Q703" s="6"/>
      <c r="R703" s="6"/>
      <c r="S703" s="3"/>
      <c r="T703" s="6"/>
      <c r="U703" s="3"/>
      <c r="V703" s="6"/>
      <c r="W703" s="6"/>
      <c r="X703" s="3"/>
      <c r="Y703" s="6"/>
      <c r="Z703" s="3"/>
      <c r="AA703" s="6"/>
      <c r="AB703" s="6"/>
      <c r="AC703" s="3"/>
    </row>
    <row r="704" spans="1:29" ht="15.75" customHeight="1" x14ac:dyDescent="0.2">
      <c r="A704" s="2"/>
      <c r="B704" s="2"/>
      <c r="C704" s="2"/>
      <c r="D704" s="14"/>
      <c r="E704" s="6"/>
      <c r="F704" s="3"/>
      <c r="G704" s="6"/>
      <c r="H704" s="6"/>
      <c r="I704" s="3"/>
      <c r="J704" s="6"/>
      <c r="K704" s="3"/>
      <c r="L704" s="6"/>
      <c r="M704" s="6"/>
      <c r="N704" s="3"/>
      <c r="O704" s="6"/>
      <c r="P704" s="3"/>
      <c r="Q704" s="6"/>
      <c r="R704" s="6"/>
      <c r="S704" s="3"/>
      <c r="T704" s="6"/>
      <c r="U704" s="3"/>
      <c r="V704" s="6"/>
      <c r="W704" s="6"/>
      <c r="X704" s="3"/>
      <c r="Y704" s="6"/>
      <c r="Z704" s="3"/>
      <c r="AA704" s="6"/>
      <c r="AB704" s="6"/>
      <c r="AC704" s="3"/>
    </row>
    <row r="705" spans="1:29" ht="15.75" customHeight="1" x14ac:dyDescent="0.2">
      <c r="A705" s="2"/>
      <c r="B705" s="2"/>
      <c r="C705" s="2"/>
      <c r="D705" s="14"/>
      <c r="E705" s="6"/>
      <c r="F705" s="3"/>
      <c r="G705" s="6"/>
      <c r="H705" s="6"/>
      <c r="I705" s="3"/>
      <c r="J705" s="6"/>
      <c r="K705" s="3"/>
      <c r="L705" s="6"/>
      <c r="M705" s="6"/>
      <c r="N705" s="3"/>
      <c r="O705" s="6"/>
      <c r="P705" s="3"/>
      <c r="Q705" s="6"/>
      <c r="R705" s="6"/>
      <c r="S705" s="3"/>
      <c r="T705" s="6"/>
      <c r="U705" s="3"/>
      <c r="V705" s="6"/>
      <c r="W705" s="6"/>
      <c r="X705" s="3"/>
      <c r="Y705" s="6"/>
      <c r="Z705" s="3"/>
      <c r="AA705" s="6"/>
      <c r="AB705" s="6"/>
      <c r="AC705" s="3"/>
    </row>
    <row r="706" spans="1:29" ht="15.75" customHeight="1" x14ac:dyDescent="0.2">
      <c r="A706" s="2"/>
      <c r="B706" s="2"/>
      <c r="C706" s="2"/>
      <c r="D706" s="14"/>
      <c r="E706" s="6"/>
      <c r="F706" s="3"/>
      <c r="G706" s="6"/>
      <c r="H706" s="6"/>
      <c r="I706" s="3"/>
      <c r="J706" s="6"/>
      <c r="K706" s="3"/>
      <c r="L706" s="6"/>
      <c r="M706" s="6"/>
      <c r="N706" s="3"/>
      <c r="O706" s="6"/>
      <c r="P706" s="3"/>
      <c r="Q706" s="6"/>
      <c r="R706" s="6"/>
      <c r="S706" s="3"/>
      <c r="T706" s="6"/>
      <c r="U706" s="3"/>
      <c r="V706" s="6"/>
      <c r="W706" s="6"/>
      <c r="X706" s="3"/>
      <c r="Y706" s="6"/>
      <c r="Z706" s="3"/>
      <c r="AA706" s="6"/>
      <c r="AB706" s="6"/>
      <c r="AC706" s="3"/>
    </row>
    <row r="707" spans="1:29" ht="15.75" customHeight="1" x14ac:dyDescent="0.2">
      <c r="A707" s="2"/>
      <c r="B707" s="2"/>
      <c r="C707" s="2"/>
      <c r="D707" s="14"/>
      <c r="E707" s="6"/>
      <c r="F707" s="3"/>
      <c r="G707" s="6"/>
      <c r="H707" s="6"/>
      <c r="I707" s="3"/>
      <c r="J707" s="6"/>
      <c r="K707" s="3"/>
      <c r="L707" s="6"/>
      <c r="M707" s="6"/>
      <c r="N707" s="3"/>
      <c r="O707" s="6"/>
      <c r="P707" s="3"/>
      <c r="Q707" s="6"/>
      <c r="R707" s="6"/>
      <c r="S707" s="3"/>
      <c r="T707" s="6"/>
      <c r="U707" s="3"/>
      <c r="V707" s="6"/>
      <c r="W707" s="6"/>
      <c r="X707" s="3"/>
      <c r="Y707" s="6"/>
      <c r="Z707" s="3"/>
      <c r="AA707" s="6"/>
      <c r="AB707" s="6"/>
      <c r="AC707" s="3"/>
    </row>
    <row r="708" spans="1:29" ht="15.75" customHeight="1" x14ac:dyDescent="0.2">
      <c r="A708" s="2"/>
      <c r="B708" s="2"/>
      <c r="C708" s="2"/>
      <c r="D708" s="14"/>
      <c r="E708" s="6"/>
      <c r="F708" s="3"/>
      <c r="G708" s="6"/>
      <c r="H708" s="6"/>
      <c r="I708" s="3"/>
      <c r="J708" s="6"/>
      <c r="K708" s="3"/>
      <c r="L708" s="6"/>
      <c r="M708" s="6"/>
      <c r="N708" s="3"/>
      <c r="O708" s="6"/>
      <c r="P708" s="3"/>
      <c r="Q708" s="6"/>
      <c r="R708" s="6"/>
      <c r="S708" s="3"/>
      <c r="T708" s="6"/>
      <c r="U708" s="3"/>
      <c r="V708" s="6"/>
      <c r="W708" s="6"/>
      <c r="X708" s="3"/>
      <c r="Y708" s="6"/>
      <c r="Z708" s="3"/>
      <c r="AA708" s="6"/>
      <c r="AB708" s="6"/>
      <c r="AC708" s="3"/>
    </row>
    <row r="709" spans="1:29" ht="15.75" customHeight="1" x14ac:dyDescent="0.2">
      <c r="A709" s="2"/>
      <c r="B709" s="2"/>
      <c r="C709" s="2"/>
      <c r="D709" s="14"/>
      <c r="E709" s="6"/>
      <c r="F709" s="3"/>
      <c r="G709" s="6"/>
      <c r="H709" s="6"/>
      <c r="I709" s="3"/>
      <c r="J709" s="6"/>
      <c r="K709" s="3"/>
      <c r="L709" s="6"/>
      <c r="M709" s="6"/>
      <c r="N709" s="3"/>
      <c r="O709" s="6"/>
      <c r="P709" s="3"/>
      <c r="Q709" s="6"/>
      <c r="R709" s="6"/>
      <c r="S709" s="3"/>
      <c r="T709" s="6"/>
      <c r="U709" s="3"/>
      <c r="V709" s="6"/>
      <c r="W709" s="6"/>
      <c r="X709" s="3"/>
      <c r="Y709" s="6"/>
      <c r="Z709" s="3"/>
      <c r="AA709" s="6"/>
      <c r="AB709" s="6"/>
      <c r="AC709" s="3"/>
    </row>
    <row r="710" spans="1:29" ht="15.75" customHeight="1" x14ac:dyDescent="0.2">
      <c r="A710" s="2"/>
      <c r="B710" s="2"/>
      <c r="C710" s="2"/>
      <c r="D710" s="14"/>
      <c r="E710" s="6"/>
      <c r="F710" s="3"/>
      <c r="G710" s="6"/>
      <c r="H710" s="6"/>
      <c r="I710" s="3"/>
      <c r="J710" s="6"/>
      <c r="K710" s="3"/>
      <c r="L710" s="6"/>
      <c r="M710" s="6"/>
      <c r="N710" s="3"/>
      <c r="O710" s="6"/>
      <c r="P710" s="3"/>
      <c r="Q710" s="6"/>
      <c r="R710" s="6"/>
      <c r="S710" s="3"/>
      <c r="T710" s="6"/>
      <c r="U710" s="3"/>
      <c r="V710" s="6"/>
      <c r="W710" s="6"/>
      <c r="X710" s="3"/>
      <c r="Y710" s="6"/>
      <c r="Z710" s="3"/>
      <c r="AA710" s="6"/>
      <c r="AB710" s="6"/>
      <c r="AC710" s="3"/>
    </row>
    <row r="711" spans="1:29" ht="15.75" customHeight="1" x14ac:dyDescent="0.2">
      <c r="A711" s="2"/>
      <c r="B711" s="2"/>
      <c r="C711" s="2"/>
      <c r="D711" s="14"/>
      <c r="E711" s="6"/>
      <c r="F711" s="3"/>
      <c r="G711" s="6"/>
      <c r="H711" s="6"/>
      <c r="I711" s="3"/>
      <c r="J711" s="6"/>
      <c r="K711" s="3"/>
      <c r="L711" s="6"/>
      <c r="M711" s="6"/>
      <c r="N711" s="3"/>
      <c r="O711" s="6"/>
      <c r="P711" s="3"/>
      <c r="Q711" s="6"/>
      <c r="R711" s="6"/>
      <c r="S711" s="3"/>
      <c r="T711" s="6"/>
      <c r="U711" s="3"/>
      <c r="V711" s="6"/>
      <c r="W711" s="6"/>
      <c r="X711" s="3"/>
      <c r="Y711" s="6"/>
      <c r="Z711" s="3"/>
      <c r="AA711" s="6"/>
      <c r="AB711" s="6"/>
      <c r="AC711" s="3"/>
    </row>
    <row r="712" spans="1:29" ht="15.75" customHeight="1" x14ac:dyDescent="0.2">
      <c r="A712" s="2"/>
      <c r="B712" s="2"/>
      <c r="C712" s="2"/>
      <c r="D712" s="14"/>
      <c r="E712" s="6"/>
      <c r="F712" s="3"/>
      <c r="G712" s="6"/>
      <c r="H712" s="6"/>
      <c r="I712" s="3"/>
      <c r="J712" s="6"/>
      <c r="K712" s="3"/>
      <c r="L712" s="6"/>
      <c r="M712" s="6"/>
      <c r="N712" s="3"/>
      <c r="O712" s="6"/>
      <c r="P712" s="3"/>
      <c r="Q712" s="6"/>
      <c r="R712" s="6"/>
      <c r="S712" s="3"/>
      <c r="T712" s="6"/>
      <c r="U712" s="3"/>
      <c r="V712" s="6"/>
      <c r="W712" s="6"/>
      <c r="X712" s="3"/>
      <c r="Y712" s="6"/>
      <c r="Z712" s="3"/>
      <c r="AA712" s="6"/>
      <c r="AB712" s="6"/>
      <c r="AC712" s="3"/>
    </row>
    <row r="713" spans="1:29" ht="15.75" customHeight="1" x14ac:dyDescent="0.2">
      <c r="A713" s="2"/>
      <c r="B713" s="2"/>
      <c r="C713" s="2"/>
      <c r="D713" s="14"/>
      <c r="E713" s="6"/>
      <c r="F713" s="3"/>
      <c r="G713" s="6"/>
      <c r="H713" s="6"/>
      <c r="I713" s="3"/>
      <c r="J713" s="6"/>
      <c r="K713" s="3"/>
      <c r="L713" s="6"/>
      <c r="M713" s="6"/>
      <c r="N713" s="3"/>
      <c r="O713" s="6"/>
      <c r="P713" s="3"/>
      <c r="Q713" s="6"/>
      <c r="R713" s="6"/>
      <c r="S713" s="3"/>
      <c r="T713" s="6"/>
      <c r="U713" s="3"/>
      <c r="V713" s="6"/>
      <c r="W713" s="6"/>
      <c r="X713" s="3"/>
      <c r="Y713" s="6"/>
      <c r="Z713" s="3"/>
      <c r="AA713" s="6"/>
      <c r="AB713" s="6"/>
      <c r="AC713" s="3"/>
    </row>
    <row r="714" spans="1:29" ht="15.75" customHeight="1" x14ac:dyDescent="0.2">
      <c r="A714" s="2"/>
      <c r="B714" s="2"/>
      <c r="C714" s="2"/>
      <c r="D714" s="14"/>
      <c r="E714" s="6"/>
      <c r="F714" s="3"/>
      <c r="G714" s="6"/>
      <c r="H714" s="6"/>
      <c r="I714" s="3"/>
      <c r="J714" s="6"/>
      <c r="K714" s="3"/>
      <c r="L714" s="6"/>
      <c r="M714" s="6"/>
      <c r="N714" s="3"/>
      <c r="O714" s="6"/>
      <c r="P714" s="3"/>
      <c r="Q714" s="6"/>
      <c r="R714" s="6"/>
      <c r="S714" s="3"/>
      <c r="T714" s="6"/>
      <c r="U714" s="3"/>
      <c r="V714" s="6"/>
      <c r="W714" s="6"/>
      <c r="X714" s="3"/>
      <c r="Y714" s="6"/>
      <c r="Z714" s="3"/>
      <c r="AA714" s="6"/>
      <c r="AB714" s="6"/>
      <c r="AC714" s="3"/>
    </row>
    <row r="715" spans="1:29" ht="15.75" customHeight="1" x14ac:dyDescent="0.2">
      <c r="A715" s="2"/>
      <c r="B715" s="2"/>
      <c r="C715" s="2"/>
      <c r="D715" s="14"/>
      <c r="E715" s="6"/>
      <c r="F715" s="3"/>
      <c r="G715" s="6"/>
      <c r="H715" s="6"/>
      <c r="I715" s="3"/>
      <c r="J715" s="6"/>
      <c r="K715" s="3"/>
      <c r="L715" s="6"/>
      <c r="M715" s="6"/>
      <c r="N715" s="3"/>
      <c r="O715" s="6"/>
      <c r="P715" s="3"/>
      <c r="Q715" s="6"/>
      <c r="R715" s="6"/>
      <c r="S715" s="3"/>
      <c r="T715" s="6"/>
      <c r="U715" s="3"/>
      <c r="V715" s="6"/>
      <c r="W715" s="6"/>
      <c r="X715" s="3"/>
      <c r="Y715" s="6"/>
      <c r="Z715" s="3"/>
      <c r="AA715" s="6"/>
      <c r="AB715" s="6"/>
      <c r="AC715" s="3"/>
    </row>
    <row r="716" spans="1:29" ht="15.75" customHeight="1" x14ac:dyDescent="0.2">
      <c r="A716" s="2"/>
      <c r="B716" s="2"/>
      <c r="C716" s="2"/>
      <c r="D716" s="14"/>
      <c r="E716" s="6"/>
      <c r="F716" s="3"/>
      <c r="G716" s="6"/>
      <c r="H716" s="6"/>
      <c r="I716" s="3"/>
      <c r="J716" s="6"/>
      <c r="K716" s="3"/>
      <c r="L716" s="6"/>
      <c r="M716" s="6"/>
      <c r="N716" s="3"/>
      <c r="O716" s="6"/>
      <c r="P716" s="3"/>
      <c r="Q716" s="6"/>
      <c r="R716" s="6"/>
      <c r="S716" s="3"/>
      <c r="T716" s="6"/>
      <c r="U716" s="3"/>
      <c r="V716" s="6"/>
      <c r="W716" s="6"/>
      <c r="X716" s="3"/>
      <c r="Y716" s="6"/>
      <c r="Z716" s="3"/>
      <c r="AA716" s="6"/>
      <c r="AB716" s="6"/>
      <c r="AC716" s="3"/>
    </row>
    <row r="717" spans="1:29" ht="15.75" customHeight="1" x14ac:dyDescent="0.2">
      <c r="A717" s="2"/>
      <c r="B717" s="2"/>
      <c r="C717" s="2"/>
      <c r="D717" s="14"/>
      <c r="E717" s="6"/>
      <c r="F717" s="3"/>
      <c r="G717" s="6"/>
      <c r="H717" s="6"/>
      <c r="I717" s="3"/>
      <c r="J717" s="6"/>
      <c r="K717" s="3"/>
      <c r="L717" s="6"/>
      <c r="M717" s="6"/>
      <c r="N717" s="3"/>
      <c r="O717" s="6"/>
      <c r="P717" s="3"/>
      <c r="Q717" s="6"/>
      <c r="R717" s="6"/>
      <c r="S717" s="3"/>
      <c r="T717" s="6"/>
      <c r="U717" s="3"/>
      <c r="V717" s="6"/>
      <c r="W717" s="6"/>
      <c r="X717" s="3"/>
      <c r="Y717" s="6"/>
      <c r="Z717" s="3"/>
      <c r="AA717" s="6"/>
      <c r="AB717" s="6"/>
      <c r="AC717" s="3"/>
    </row>
    <row r="718" spans="1:29" ht="15.75" customHeight="1" x14ac:dyDescent="0.2">
      <c r="A718" s="2"/>
      <c r="B718" s="2"/>
      <c r="C718" s="2"/>
      <c r="D718" s="14"/>
      <c r="E718" s="6"/>
      <c r="F718" s="3"/>
      <c r="G718" s="6"/>
      <c r="H718" s="6"/>
      <c r="I718" s="3"/>
      <c r="J718" s="6"/>
      <c r="K718" s="3"/>
      <c r="L718" s="6"/>
      <c r="M718" s="6"/>
      <c r="N718" s="3"/>
      <c r="O718" s="6"/>
      <c r="P718" s="3"/>
      <c r="Q718" s="6"/>
      <c r="R718" s="6"/>
      <c r="S718" s="3"/>
      <c r="T718" s="6"/>
      <c r="U718" s="3"/>
      <c r="V718" s="6"/>
      <c r="W718" s="6"/>
      <c r="X718" s="3"/>
      <c r="Y718" s="6"/>
      <c r="Z718" s="3"/>
      <c r="AA718" s="6"/>
      <c r="AB718" s="6"/>
      <c r="AC718" s="3"/>
    </row>
    <row r="719" spans="1:29" ht="15.75" customHeight="1" x14ac:dyDescent="0.2">
      <c r="A719" s="2"/>
      <c r="B719" s="2"/>
      <c r="C719" s="2"/>
      <c r="D719" s="14"/>
      <c r="E719" s="6"/>
      <c r="F719" s="3"/>
      <c r="G719" s="6"/>
      <c r="H719" s="6"/>
      <c r="I719" s="3"/>
      <c r="J719" s="6"/>
      <c r="K719" s="3"/>
      <c r="L719" s="6"/>
      <c r="M719" s="6"/>
      <c r="N719" s="3"/>
      <c r="O719" s="6"/>
      <c r="P719" s="3"/>
      <c r="Q719" s="6"/>
      <c r="R719" s="6"/>
      <c r="S719" s="3"/>
      <c r="T719" s="6"/>
      <c r="U719" s="3"/>
      <c r="V719" s="6"/>
      <c r="W719" s="6"/>
      <c r="X719" s="3"/>
      <c r="Y719" s="6"/>
      <c r="Z719" s="3"/>
      <c r="AA719" s="6"/>
      <c r="AB719" s="6"/>
      <c r="AC719" s="3"/>
    </row>
    <row r="720" spans="1:29" ht="15.75" customHeight="1" x14ac:dyDescent="0.2">
      <c r="A720" s="2"/>
      <c r="B720" s="2"/>
      <c r="C720" s="2"/>
      <c r="D720" s="14"/>
      <c r="E720" s="6"/>
      <c r="F720" s="3"/>
      <c r="G720" s="6"/>
      <c r="H720" s="6"/>
      <c r="I720" s="3"/>
      <c r="J720" s="6"/>
      <c r="K720" s="3"/>
      <c r="L720" s="6"/>
      <c r="M720" s="6"/>
      <c r="N720" s="3"/>
      <c r="O720" s="6"/>
      <c r="P720" s="3"/>
      <c r="Q720" s="6"/>
      <c r="R720" s="6"/>
      <c r="S720" s="3"/>
      <c r="T720" s="6"/>
      <c r="U720" s="3"/>
      <c r="V720" s="6"/>
      <c r="W720" s="6"/>
      <c r="X720" s="3"/>
      <c r="Y720" s="6"/>
      <c r="Z720" s="3"/>
      <c r="AA720" s="6"/>
      <c r="AB720" s="6"/>
      <c r="AC720" s="3"/>
    </row>
    <row r="721" spans="1:29" ht="15.75" customHeight="1" x14ac:dyDescent="0.2">
      <c r="A721" s="2"/>
      <c r="B721" s="2"/>
      <c r="C721" s="2"/>
      <c r="D721" s="14"/>
      <c r="E721" s="6"/>
      <c r="F721" s="3"/>
      <c r="G721" s="6"/>
      <c r="H721" s="6"/>
      <c r="I721" s="3"/>
      <c r="J721" s="6"/>
      <c r="K721" s="3"/>
      <c r="L721" s="6"/>
      <c r="M721" s="6"/>
      <c r="N721" s="3"/>
      <c r="O721" s="6"/>
      <c r="P721" s="3"/>
      <c r="Q721" s="6"/>
      <c r="R721" s="6"/>
      <c r="S721" s="3"/>
      <c r="T721" s="6"/>
      <c r="U721" s="3"/>
      <c r="V721" s="6"/>
      <c r="W721" s="6"/>
      <c r="X721" s="3"/>
      <c r="Y721" s="6"/>
      <c r="Z721" s="3"/>
      <c r="AA721" s="6"/>
      <c r="AB721" s="6"/>
      <c r="AC721" s="3"/>
    </row>
    <row r="722" spans="1:29" ht="15.75" customHeight="1" x14ac:dyDescent="0.2">
      <c r="A722" s="2"/>
      <c r="B722" s="2"/>
      <c r="C722" s="2"/>
      <c r="D722" s="14"/>
      <c r="E722" s="6"/>
      <c r="F722" s="3"/>
      <c r="G722" s="6"/>
      <c r="H722" s="6"/>
      <c r="I722" s="3"/>
      <c r="J722" s="6"/>
      <c r="K722" s="3"/>
      <c r="L722" s="6"/>
      <c r="M722" s="6"/>
      <c r="N722" s="3"/>
      <c r="O722" s="6"/>
      <c r="P722" s="3"/>
      <c r="Q722" s="6"/>
      <c r="R722" s="6"/>
      <c r="S722" s="3"/>
      <c r="T722" s="6"/>
      <c r="U722" s="3"/>
      <c r="V722" s="6"/>
      <c r="W722" s="6"/>
      <c r="X722" s="3"/>
      <c r="Y722" s="6"/>
      <c r="Z722" s="3"/>
      <c r="AA722" s="6"/>
      <c r="AB722" s="6"/>
      <c r="AC722" s="3"/>
    </row>
    <row r="723" spans="1:29" ht="15.75" customHeight="1" x14ac:dyDescent="0.2">
      <c r="A723" s="2"/>
      <c r="B723" s="2"/>
      <c r="C723" s="2"/>
      <c r="D723" s="14"/>
      <c r="E723" s="6"/>
      <c r="F723" s="3"/>
      <c r="G723" s="6"/>
      <c r="H723" s="6"/>
      <c r="I723" s="3"/>
      <c r="J723" s="6"/>
      <c r="K723" s="3"/>
      <c r="L723" s="6"/>
      <c r="M723" s="6"/>
      <c r="N723" s="3"/>
      <c r="O723" s="6"/>
      <c r="P723" s="3"/>
      <c r="Q723" s="6"/>
      <c r="R723" s="6"/>
      <c r="S723" s="3"/>
      <c r="T723" s="6"/>
      <c r="U723" s="3"/>
      <c r="V723" s="6"/>
      <c r="W723" s="6"/>
      <c r="X723" s="3"/>
      <c r="Y723" s="6"/>
      <c r="Z723" s="3"/>
      <c r="AA723" s="6"/>
      <c r="AB723" s="6"/>
      <c r="AC723" s="3"/>
    </row>
    <row r="724" spans="1:29" ht="15.75" customHeight="1" x14ac:dyDescent="0.2">
      <c r="A724" s="2"/>
      <c r="B724" s="2"/>
      <c r="C724" s="2"/>
      <c r="D724" s="14"/>
      <c r="E724" s="6"/>
      <c r="F724" s="3"/>
      <c r="G724" s="6"/>
      <c r="H724" s="6"/>
      <c r="I724" s="3"/>
      <c r="J724" s="6"/>
      <c r="K724" s="3"/>
      <c r="L724" s="6"/>
      <c r="M724" s="6"/>
      <c r="N724" s="3"/>
      <c r="O724" s="6"/>
      <c r="P724" s="3"/>
      <c r="Q724" s="6"/>
      <c r="R724" s="6"/>
      <c r="S724" s="3"/>
      <c r="T724" s="6"/>
      <c r="U724" s="3"/>
      <c r="V724" s="6"/>
      <c r="W724" s="6"/>
      <c r="X724" s="3"/>
      <c r="Y724" s="6"/>
      <c r="Z724" s="3"/>
      <c r="AA724" s="6"/>
      <c r="AB724" s="6"/>
      <c r="AC724" s="3"/>
    </row>
    <row r="725" spans="1:29" ht="15.75" customHeight="1" x14ac:dyDescent="0.2">
      <c r="A725" s="2"/>
      <c r="B725" s="2"/>
      <c r="C725" s="2"/>
      <c r="D725" s="14"/>
      <c r="E725" s="6"/>
      <c r="F725" s="3"/>
      <c r="G725" s="6"/>
      <c r="H725" s="6"/>
      <c r="I725" s="3"/>
      <c r="J725" s="6"/>
      <c r="K725" s="3"/>
      <c r="L725" s="6"/>
      <c r="M725" s="6"/>
      <c r="N725" s="3"/>
      <c r="O725" s="6"/>
      <c r="P725" s="3"/>
      <c r="Q725" s="6"/>
      <c r="R725" s="6"/>
      <c r="S725" s="3"/>
      <c r="T725" s="6"/>
      <c r="U725" s="3"/>
      <c r="V725" s="6"/>
      <c r="W725" s="6"/>
      <c r="X725" s="3"/>
      <c r="Y725" s="6"/>
      <c r="Z725" s="3"/>
      <c r="AA725" s="6"/>
      <c r="AB725" s="6"/>
      <c r="AC725" s="3"/>
    </row>
    <row r="726" spans="1:29" ht="15.75" customHeight="1" x14ac:dyDescent="0.2">
      <c r="A726" s="2"/>
      <c r="B726" s="2"/>
      <c r="C726" s="2"/>
      <c r="D726" s="14"/>
      <c r="E726" s="6"/>
      <c r="F726" s="3"/>
      <c r="G726" s="6"/>
      <c r="H726" s="6"/>
      <c r="I726" s="3"/>
      <c r="J726" s="6"/>
      <c r="K726" s="3"/>
      <c r="L726" s="6"/>
      <c r="M726" s="6"/>
      <c r="N726" s="3"/>
      <c r="O726" s="6"/>
      <c r="P726" s="3"/>
      <c r="Q726" s="6"/>
      <c r="R726" s="6"/>
      <c r="S726" s="3"/>
      <c r="T726" s="6"/>
      <c r="U726" s="3"/>
      <c r="V726" s="6"/>
      <c r="W726" s="6"/>
      <c r="X726" s="3"/>
      <c r="Y726" s="6"/>
      <c r="Z726" s="3"/>
      <c r="AA726" s="6"/>
      <c r="AB726" s="6"/>
      <c r="AC726" s="3"/>
    </row>
    <row r="727" spans="1:29" ht="15.75" customHeight="1" x14ac:dyDescent="0.2">
      <c r="A727" s="2"/>
      <c r="B727" s="2"/>
      <c r="C727" s="2"/>
      <c r="D727" s="14"/>
      <c r="E727" s="6"/>
      <c r="F727" s="3"/>
      <c r="G727" s="6"/>
      <c r="H727" s="6"/>
      <c r="I727" s="3"/>
      <c r="J727" s="6"/>
      <c r="K727" s="3"/>
      <c r="L727" s="6"/>
      <c r="M727" s="6"/>
      <c r="N727" s="3"/>
      <c r="O727" s="6"/>
      <c r="P727" s="3"/>
      <c r="Q727" s="6"/>
      <c r="R727" s="6"/>
      <c r="S727" s="3"/>
      <c r="T727" s="6"/>
      <c r="U727" s="3"/>
      <c r="V727" s="6"/>
      <c r="W727" s="6"/>
      <c r="X727" s="3"/>
      <c r="Y727" s="6"/>
      <c r="Z727" s="3"/>
      <c r="AA727" s="6"/>
      <c r="AB727" s="6"/>
      <c r="AC727" s="3"/>
    </row>
    <row r="728" spans="1:29" ht="15.75" customHeight="1" x14ac:dyDescent="0.2">
      <c r="A728" s="2"/>
      <c r="B728" s="2"/>
      <c r="C728" s="2"/>
      <c r="D728" s="14"/>
      <c r="E728" s="6"/>
      <c r="F728" s="3"/>
      <c r="G728" s="6"/>
      <c r="H728" s="6"/>
      <c r="I728" s="3"/>
      <c r="J728" s="6"/>
      <c r="K728" s="3"/>
      <c r="L728" s="6"/>
      <c r="M728" s="6"/>
      <c r="N728" s="3"/>
      <c r="O728" s="6"/>
      <c r="P728" s="3"/>
      <c r="Q728" s="6"/>
      <c r="R728" s="6"/>
      <c r="S728" s="3"/>
      <c r="T728" s="6"/>
      <c r="U728" s="3"/>
      <c r="V728" s="6"/>
      <c r="W728" s="6"/>
      <c r="X728" s="3"/>
      <c r="Y728" s="6"/>
      <c r="Z728" s="3"/>
      <c r="AA728" s="6"/>
      <c r="AB728" s="6"/>
      <c r="AC728" s="3"/>
    </row>
    <row r="729" spans="1:29" ht="15.75" customHeight="1" x14ac:dyDescent="0.2">
      <c r="A729" s="2"/>
      <c r="B729" s="2"/>
      <c r="C729" s="2"/>
      <c r="D729" s="14"/>
      <c r="E729" s="6"/>
      <c r="F729" s="3"/>
      <c r="G729" s="6"/>
      <c r="H729" s="6"/>
      <c r="I729" s="3"/>
      <c r="J729" s="6"/>
      <c r="K729" s="3"/>
      <c r="L729" s="6"/>
      <c r="M729" s="6"/>
      <c r="N729" s="3"/>
      <c r="O729" s="6"/>
      <c r="P729" s="3"/>
      <c r="Q729" s="6"/>
      <c r="R729" s="6"/>
      <c r="S729" s="3"/>
      <c r="T729" s="6"/>
      <c r="U729" s="3"/>
      <c r="V729" s="6"/>
      <c r="W729" s="6"/>
      <c r="X729" s="3"/>
      <c r="Y729" s="6"/>
      <c r="Z729" s="3"/>
      <c r="AA729" s="6"/>
      <c r="AB729" s="6"/>
      <c r="AC729" s="3"/>
    </row>
    <row r="730" spans="1:29" ht="15.75" customHeight="1" x14ac:dyDescent="0.2">
      <c r="A730" s="2"/>
      <c r="B730" s="2"/>
      <c r="C730" s="2"/>
      <c r="D730" s="14"/>
      <c r="E730" s="6"/>
      <c r="F730" s="3"/>
      <c r="G730" s="6"/>
      <c r="H730" s="6"/>
      <c r="I730" s="3"/>
      <c r="J730" s="6"/>
      <c r="K730" s="3"/>
      <c r="L730" s="6"/>
      <c r="M730" s="6"/>
      <c r="N730" s="3"/>
      <c r="O730" s="6"/>
      <c r="P730" s="3"/>
      <c r="Q730" s="6"/>
      <c r="R730" s="6"/>
      <c r="S730" s="3"/>
      <c r="T730" s="6"/>
      <c r="U730" s="3"/>
      <c r="V730" s="6"/>
      <c r="W730" s="6"/>
      <c r="X730" s="3"/>
      <c r="Y730" s="6"/>
      <c r="Z730" s="3"/>
      <c r="AA730" s="6"/>
      <c r="AB730" s="6"/>
      <c r="AC730" s="3"/>
    </row>
    <row r="731" spans="1:29" ht="15.75" customHeight="1" x14ac:dyDescent="0.2">
      <c r="A731" s="2"/>
      <c r="B731" s="2"/>
      <c r="C731" s="2"/>
      <c r="D731" s="14"/>
      <c r="E731" s="6"/>
      <c r="F731" s="3"/>
      <c r="G731" s="6"/>
      <c r="H731" s="6"/>
      <c r="I731" s="3"/>
      <c r="J731" s="6"/>
      <c r="K731" s="3"/>
      <c r="L731" s="6"/>
      <c r="M731" s="6"/>
      <c r="N731" s="3"/>
      <c r="O731" s="6"/>
      <c r="P731" s="3"/>
      <c r="Q731" s="6"/>
      <c r="R731" s="6"/>
      <c r="S731" s="3"/>
      <c r="T731" s="6"/>
      <c r="U731" s="3"/>
      <c r="V731" s="6"/>
      <c r="W731" s="6"/>
      <c r="X731" s="3"/>
      <c r="Y731" s="6"/>
      <c r="Z731" s="3"/>
      <c r="AA731" s="6"/>
      <c r="AB731" s="6"/>
      <c r="AC731" s="3"/>
    </row>
    <row r="732" spans="1:29" ht="15.75" customHeight="1" x14ac:dyDescent="0.2">
      <c r="A732" s="2"/>
      <c r="B732" s="2"/>
      <c r="C732" s="2"/>
      <c r="D732" s="14"/>
      <c r="E732" s="6"/>
      <c r="F732" s="3"/>
      <c r="G732" s="6"/>
      <c r="H732" s="6"/>
      <c r="I732" s="3"/>
      <c r="J732" s="6"/>
      <c r="K732" s="3"/>
      <c r="L732" s="6"/>
      <c r="M732" s="6"/>
      <c r="N732" s="3"/>
      <c r="O732" s="6"/>
      <c r="P732" s="3"/>
      <c r="Q732" s="6"/>
      <c r="R732" s="6"/>
      <c r="S732" s="3"/>
      <c r="T732" s="6"/>
      <c r="U732" s="3"/>
      <c r="V732" s="6"/>
      <c r="W732" s="6"/>
      <c r="X732" s="3"/>
      <c r="Y732" s="6"/>
      <c r="Z732" s="3"/>
      <c r="AA732" s="6"/>
      <c r="AB732" s="6"/>
      <c r="AC732" s="3"/>
    </row>
    <row r="733" spans="1:29" ht="15.75" customHeight="1" x14ac:dyDescent="0.2">
      <c r="A733" s="2"/>
      <c r="B733" s="2"/>
      <c r="C733" s="2"/>
      <c r="D733" s="14"/>
      <c r="E733" s="6"/>
      <c r="F733" s="3"/>
      <c r="G733" s="6"/>
      <c r="H733" s="6"/>
      <c r="I733" s="3"/>
      <c r="J733" s="6"/>
      <c r="K733" s="3"/>
      <c r="L733" s="6"/>
      <c r="M733" s="6"/>
      <c r="N733" s="3"/>
      <c r="O733" s="6"/>
      <c r="P733" s="3"/>
      <c r="Q733" s="6"/>
      <c r="R733" s="6"/>
      <c r="S733" s="3"/>
      <c r="T733" s="6"/>
      <c r="U733" s="3"/>
      <c r="V733" s="6"/>
      <c r="W733" s="6"/>
      <c r="X733" s="3"/>
      <c r="Y733" s="6"/>
      <c r="Z733" s="3"/>
      <c r="AA733" s="6"/>
      <c r="AB733" s="6"/>
      <c r="AC733" s="3"/>
    </row>
    <row r="734" spans="1:29" ht="15.75" customHeight="1" x14ac:dyDescent="0.2">
      <c r="A734" s="2"/>
      <c r="B734" s="2"/>
      <c r="C734" s="2"/>
      <c r="D734" s="14"/>
      <c r="E734" s="6"/>
      <c r="F734" s="3"/>
      <c r="G734" s="6"/>
      <c r="H734" s="6"/>
      <c r="I734" s="3"/>
      <c r="J734" s="6"/>
      <c r="K734" s="3"/>
      <c r="L734" s="6"/>
      <c r="M734" s="6"/>
      <c r="N734" s="3"/>
      <c r="O734" s="6"/>
      <c r="P734" s="3"/>
      <c r="Q734" s="6"/>
      <c r="R734" s="6"/>
      <c r="S734" s="3"/>
      <c r="T734" s="6"/>
      <c r="U734" s="3"/>
      <c r="V734" s="6"/>
      <c r="W734" s="6"/>
      <c r="X734" s="3"/>
      <c r="Y734" s="6"/>
      <c r="Z734" s="3"/>
      <c r="AA734" s="6"/>
      <c r="AB734" s="6"/>
      <c r="AC734" s="3"/>
    </row>
    <row r="735" spans="1:29" ht="15.75" customHeight="1" x14ac:dyDescent="0.2">
      <c r="A735" s="2"/>
      <c r="B735" s="2"/>
      <c r="C735" s="2"/>
      <c r="D735" s="14"/>
      <c r="E735" s="6"/>
      <c r="F735" s="3"/>
      <c r="G735" s="6"/>
      <c r="H735" s="6"/>
      <c r="I735" s="3"/>
      <c r="J735" s="6"/>
      <c r="K735" s="3"/>
      <c r="L735" s="6"/>
      <c r="M735" s="6"/>
      <c r="N735" s="3"/>
      <c r="O735" s="6"/>
      <c r="P735" s="3"/>
      <c r="Q735" s="6"/>
      <c r="R735" s="6"/>
      <c r="S735" s="3"/>
      <c r="T735" s="6"/>
      <c r="U735" s="3"/>
      <c r="V735" s="6"/>
      <c r="W735" s="6"/>
      <c r="X735" s="3"/>
      <c r="Y735" s="6"/>
      <c r="Z735" s="3"/>
      <c r="AA735" s="6"/>
      <c r="AB735" s="6"/>
      <c r="AC735" s="3"/>
    </row>
    <row r="736" spans="1:29" ht="15.75" customHeight="1" x14ac:dyDescent="0.2">
      <c r="A736" s="2"/>
      <c r="B736" s="2"/>
      <c r="C736" s="2"/>
      <c r="D736" s="14"/>
      <c r="E736" s="6"/>
      <c r="F736" s="3"/>
      <c r="G736" s="6"/>
      <c r="H736" s="6"/>
      <c r="I736" s="3"/>
      <c r="J736" s="6"/>
      <c r="K736" s="3"/>
      <c r="L736" s="6"/>
      <c r="M736" s="6"/>
      <c r="N736" s="3"/>
      <c r="O736" s="6"/>
      <c r="P736" s="3"/>
      <c r="Q736" s="6"/>
      <c r="R736" s="6"/>
      <c r="S736" s="3"/>
      <c r="T736" s="6"/>
      <c r="U736" s="3"/>
      <c r="V736" s="6"/>
      <c r="W736" s="6"/>
      <c r="X736" s="3"/>
      <c r="Y736" s="6"/>
      <c r="Z736" s="3"/>
      <c r="AA736" s="6"/>
      <c r="AB736" s="6"/>
      <c r="AC736" s="3"/>
    </row>
    <row r="737" spans="1:29" ht="15.75" customHeight="1" x14ac:dyDescent="0.2">
      <c r="A737" s="2"/>
      <c r="B737" s="2"/>
      <c r="C737" s="2"/>
      <c r="D737" s="14"/>
      <c r="E737" s="6"/>
      <c r="F737" s="3"/>
      <c r="G737" s="6"/>
      <c r="H737" s="6"/>
      <c r="I737" s="3"/>
      <c r="J737" s="6"/>
      <c r="K737" s="3"/>
      <c r="L737" s="6"/>
      <c r="M737" s="6"/>
      <c r="N737" s="3"/>
      <c r="O737" s="6"/>
      <c r="P737" s="3"/>
      <c r="Q737" s="6"/>
      <c r="R737" s="6"/>
      <c r="S737" s="3"/>
      <c r="T737" s="6"/>
      <c r="U737" s="3"/>
      <c r="V737" s="6"/>
      <c r="W737" s="6"/>
      <c r="X737" s="3"/>
      <c r="Y737" s="6"/>
      <c r="Z737" s="3"/>
      <c r="AA737" s="6"/>
      <c r="AB737" s="6"/>
      <c r="AC737" s="3"/>
    </row>
    <row r="738" spans="1:29" ht="15.75" customHeight="1" x14ac:dyDescent="0.2">
      <c r="A738" s="2"/>
      <c r="B738" s="2"/>
      <c r="C738" s="2"/>
      <c r="D738" s="14"/>
      <c r="E738" s="6"/>
      <c r="F738" s="3"/>
      <c r="G738" s="6"/>
      <c r="H738" s="6"/>
      <c r="I738" s="3"/>
      <c r="J738" s="6"/>
      <c r="K738" s="3"/>
      <c r="L738" s="6"/>
      <c r="M738" s="6"/>
      <c r="N738" s="3"/>
      <c r="O738" s="6"/>
      <c r="P738" s="3"/>
      <c r="Q738" s="6"/>
      <c r="R738" s="6"/>
      <c r="S738" s="3"/>
      <c r="T738" s="6"/>
      <c r="U738" s="3"/>
      <c r="V738" s="6"/>
      <c r="W738" s="6"/>
      <c r="X738" s="3"/>
      <c r="Y738" s="6"/>
      <c r="Z738" s="3"/>
      <c r="AA738" s="6"/>
      <c r="AB738" s="6"/>
      <c r="AC738" s="3"/>
    </row>
    <row r="739" spans="1:29" ht="15.75" customHeight="1" x14ac:dyDescent="0.2">
      <c r="A739" s="2"/>
      <c r="B739" s="2"/>
      <c r="C739" s="2"/>
      <c r="D739" s="14"/>
      <c r="E739" s="6"/>
      <c r="F739" s="3"/>
      <c r="G739" s="6"/>
      <c r="H739" s="6"/>
      <c r="I739" s="3"/>
      <c r="J739" s="6"/>
      <c r="K739" s="3"/>
      <c r="L739" s="6"/>
      <c r="M739" s="6"/>
      <c r="N739" s="3"/>
      <c r="O739" s="6"/>
      <c r="P739" s="3"/>
      <c r="Q739" s="6"/>
      <c r="R739" s="6"/>
      <c r="S739" s="3"/>
      <c r="T739" s="6"/>
      <c r="U739" s="3"/>
      <c r="V739" s="6"/>
      <c r="W739" s="6"/>
      <c r="X739" s="3"/>
      <c r="Y739" s="6"/>
      <c r="Z739" s="3"/>
      <c r="AA739" s="6"/>
      <c r="AB739" s="6"/>
      <c r="AC739" s="3"/>
    </row>
    <row r="740" spans="1:29" ht="15.75" customHeight="1" x14ac:dyDescent="0.2">
      <c r="A740" s="2"/>
      <c r="B740" s="2"/>
      <c r="C740" s="2"/>
      <c r="D740" s="14"/>
      <c r="E740" s="6"/>
      <c r="F740" s="3"/>
      <c r="G740" s="6"/>
      <c r="H740" s="6"/>
      <c r="I740" s="3"/>
      <c r="J740" s="6"/>
      <c r="K740" s="3"/>
      <c r="L740" s="6"/>
      <c r="M740" s="6"/>
      <c r="N740" s="3"/>
      <c r="O740" s="6"/>
      <c r="P740" s="3"/>
      <c r="Q740" s="6"/>
      <c r="R740" s="6"/>
      <c r="S740" s="3"/>
      <c r="T740" s="6"/>
      <c r="U740" s="3"/>
      <c r="V740" s="6"/>
      <c r="W740" s="6"/>
      <c r="X740" s="3"/>
      <c r="Y740" s="6"/>
      <c r="Z740" s="3"/>
      <c r="AA740" s="6"/>
      <c r="AB740" s="6"/>
      <c r="AC740" s="3"/>
    </row>
    <row r="741" spans="1:29" ht="15.75" customHeight="1" x14ac:dyDescent="0.2">
      <c r="A741" s="2"/>
      <c r="B741" s="2"/>
      <c r="C741" s="2"/>
      <c r="D741" s="14"/>
      <c r="E741" s="6"/>
      <c r="F741" s="3"/>
      <c r="G741" s="6"/>
      <c r="H741" s="6"/>
      <c r="I741" s="3"/>
      <c r="J741" s="6"/>
      <c r="K741" s="3"/>
      <c r="L741" s="6"/>
      <c r="M741" s="6"/>
      <c r="N741" s="3"/>
      <c r="O741" s="6"/>
      <c r="P741" s="3"/>
      <c r="Q741" s="6"/>
      <c r="R741" s="6"/>
      <c r="S741" s="3"/>
      <c r="T741" s="6"/>
      <c r="U741" s="3"/>
      <c r="V741" s="6"/>
      <c r="W741" s="6"/>
      <c r="X741" s="3"/>
      <c r="Y741" s="6"/>
      <c r="Z741" s="3"/>
      <c r="AA741" s="6"/>
      <c r="AB741" s="6"/>
      <c r="AC741" s="3"/>
    </row>
    <row r="742" spans="1:29" ht="15.75" customHeight="1" x14ac:dyDescent="0.2">
      <c r="A742" s="2"/>
      <c r="B742" s="2"/>
      <c r="C742" s="2"/>
      <c r="D742" s="14"/>
      <c r="E742" s="6"/>
      <c r="F742" s="3"/>
      <c r="G742" s="6"/>
      <c r="H742" s="6"/>
      <c r="I742" s="3"/>
      <c r="J742" s="6"/>
      <c r="K742" s="3"/>
      <c r="L742" s="6"/>
      <c r="M742" s="6"/>
      <c r="N742" s="3"/>
      <c r="O742" s="6"/>
      <c r="P742" s="3"/>
      <c r="Q742" s="6"/>
      <c r="R742" s="6"/>
      <c r="S742" s="3"/>
      <c r="T742" s="6"/>
      <c r="U742" s="3"/>
      <c r="V742" s="6"/>
      <c r="W742" s="6"/>
      <c r="X742" s="3"/>
      <c r="Y742" s="6"/>
      <c r="Z742" s="3"/>
      <c r="AA742" s="6"/>
      <c r="AB742" s="6"/>
      <c r="AC742" s="3"/>
    </row>
    <row r="743" spans="1:29" ht="15.75" customHeight="1" x14ac:dyDescent="0.2">
      <c r="A743" s="2"/>
      <c r="B743" s="2"/>
      <c r="C743" s="2"/>
      <c r="D743" s="14"/>
      <c r="E743" s="6"/>
      <c r="F743" s="3"/>
      <c r="G743" s="6"/>
      <c r="H743" s="6"/>
      <c r="I743" s="3"/>
      <c r="J743" s="6"/>
      <c r="K743" s="3"/>
      <c r="L743" s="6"/>
      <c r="M743" s="6"/>
      <c r="N743" s="3"/>
      <c r="O743" s="6"/>
      <c r="P743" s="3"/>
      <c r="Q743" s="6"/>
      <c r="R743" s="6"/>
      <c r="S743" s="3"/>
      <c r="T743" s="6"/>
      <c r="U743" s="3"/>
      <c r="V743" s="6"/>
      <c r="W743" s="6"/>
      <c r="X743" s="3"/>
      <c r="Y743" s="6"/>
      <c r="Z743" s="3"/>
      <c r="AA743" s="6"/>
      <c r="AB743" s="6"/>
      <c r="AC743" s="3"/>
    </row>
    <row r="744" spans="1:29" ht="15.75" customHeight="1" x14ac:dyDescent="0.2">
      <c r="A744" s="2"/>
      <c r="B744" s="2"/>
      <c r="C744" s="2"/>
      <c r="D744" s="14"/>
      <c r="E744" s="6"/>
      <c r="F744" s="3"/>
      <c r="G744" s="6"/>
      <c r="H744" s="6"/>
      <c r="I744" s="3"/>
      <c r="J744" s="6"/>
      <c r="K744" s="3"/>
      <c r="L744" s="6"/>
      <c r="M744" s="6"/>
      <c r="N744" s="3"/>
      <c r="O744" s="6"/>
      <c r="P744" s="3"/>
      <c r="Q744" s="6"/>
      <c r="R744" s="6"/>
      <c r="S744" s="3"/>
      <c r="T744" s="6"/>
      <c r="U744" s="3"/>
      <c r="V744" s="6"/>
      <c r="W744" s="6"/>
      <c r="X744" s="3"/>
      <c r="Y744" s="6"/>
      <c r="Z744" s="3"/>
      <c r="AA744" s="6"/>
      <c r="AB744" s="6"/>
      <c r="AC744" s="3"/>
    </row>
    <row r="745" spans="1:29" ht="15.75" customHeight="1" x14ac:dyDescent="0.2">
      <c r="A745" s="2"/>
      <c r="B745" s="2"/>
      <c r="C745" s="2"/>
      <c r="D745" s="14"/>
      <c r="E745" s="6"/>
      <c r="F745" s="3"/>
      <c r="G745" s="6"/>
      <c r="H745" s="6"/>
      <c r="I745" s="3"/>
      <c r="J745" s="6"/>
      <c r="K745" s="3"/>
      <c r="L745" s="6"/>
      <c r="M745" s="6"/>
      <c r="N745" s="3"/>
      <c r="O745" s="6"/>
      <c r="P745" s="3"/>
      <c r="Q745" s="6"/>
      <c r="R745" s="6"/>
      <c r="S745" s="3"/>
      <c r="T745" s="6"/>
      <c r="U745" s="3"/>
      <c r="V745" s="6"/>
      <c r="W745" s="6"/>
      <c r="X745" s="3"/>
      <c r="Y745" s="6"/>
      <c r="Z745" s="3"/>
      <c r="AA745" s="6"/>
      <c r="AB745" s="6"/>
      <c r="AC745" s="3"/>
    </row>
    <row r="746" spans="1:29" ht="15.75" customHeight="1" x14ac:dyDescent="0.2">
      <c r="A746" s="2"/>
      <c r="B746" s="2"/>
      <c r="C746" s="2"/>
      <c r="D746" s="14"/>
      <c r="E746" s="6"/>
      <c r="F746" s="3"/>
      <c r="G746" s="6"/>
      <c r="H746" s="6"/>
      <c r="I746" s="3"/>
      <c r="J746" s="6"/>
      <c r="K746" s="3"/>
      <c r="L746" s="6"/>
      <c r="M746" s="6"/>
      <c r="N746" s="3"/>
      <c r="O746" s="6"/>
      <c r="P746" s="3"/>
      <c r="Q746" s="6"/>
      <c r="R746" s="6"/>
      <c r="S746" s="3"/>
      <c r="T746" s="6"/>
      <c r="U746" s="3"/>
      <c r="V746" s="6"/>
      <c r="W746" s="6"/>
      <c r="X746" s="3"/>
      <c r="Y746" s="6"/>
      <c r="Z746" s="3"/>
      <c r="AA746" s="6"/>
      <c r="AB746" s="6"/>
      <c r="AC746" s="3"/>
    </row>
    <row r="747" spans="1:29" ht="15.75" customHeight="1" x14ac:dyDescent="0.2">
      <c r="A747" s="2"/>
      <c r="B747" s="2"/>
      <c r="C747" s="2"/>
      <c r="D747" s="14"/>
      <c r="E747" s="6"/>
      <c r="F747" s="3"/>
      <c r="G747" s="6"/>
      <c r="H747" s="6"/>
      <c r="I747" s="3"/>
      <c r="J747" s="6"/>
      <c r="K747" s="3"/>
      <c r="L747" s="6"/>
      <c r="M747" s="6"/>
      <c r="N747" s="3"/>
      <c r="O747" s="6"/>
      <c r="P747" s="3"/>
      <c r="Q747" s="6"/>
      <c r="R747" s="6"/>
      <c r="S747" s="3"/>
      <c r="T747" s="6"/>
      <c r="U747" s="3"/>
      <c r="V747" s="6"/>
      <c r="W747" s="6"/>
      <c r="X747" s="3"/>
      <c r="Y747" s="6"/>
      <c r="Z747" s="3"/>
      <c r="AA747" s="6"/>
      <c r="AB747" s="6"/>
      <c r="AC747" s="3"/>
    </row>
    <row r="748" spans="1:29" ht="15.75" customHeight="1" x14ac:dyDescent="0.2">
      <c r="A748" s="2"/>
      <c r="B748" s="2"/>
      <c r="C748" s="2"/>
      <c r="D748" s="14"/>
      <c r="E748" s="6"/>
      <c r="F748" s="3"/>
      <c r="G748" s="6"/>
      <c r="H748" s="6"/>
      <c r="I748" s="3"/>
      <c r="J748" s="6"/>
      <c r="K748" s="3"/>
      <c r="L748" s="6"/>
      <c r="M748" s="6"/>
      <c r="N748" s="3"/>
      <c r="O748" s="6"/>
      <c r="P748" s="3"/>
      <c r="Q748" s="6"/>
      <c r="R748" s="6"/>
      <c r="S748" s="3"/>
      <c r="T748" s="6"/>
      <c r="U748" s="3"/>
      <c r="V748" s="6"/>
      <c r="W748" s="6"/>
      <c r="X748" s="3"/>
      <c r="Y748" s="6"/>
      <c r="Z748" s="3"/>
      <c r="AA748" s="6"/>
      <c r="AB748" s="6"/>
      <c r="AC748" s="3"/>
    </row>
    <row r="749" spans="1:29" ht="15.75" customHeight="1" x14ac:dyDescent="0.2">
      <c r="A749" s="2"/>
      <c r="B749" s="2"/>
      <c r="C749" s="2"/>
      <c r="D749" s="14"/>
      <c r="E749" s="6"/>
      <c r="F749" s="3"/>
      <c r="G749" s="6"/>
      <c r="H749" s="6"/>
      <c r="I749" s="3"/>
      <c r="J749" s="6"/>
      <c r="K749" s="3"/>
      <c r="L749" s="6"/>
      <c r="M749" s="6"/>
      <c r="N749" s="3"/>
      <c r="O749" s="6"/>
      <c r="P749" s="3"/>
      <c r="Q749" s="6"/>
      <c r="R749" s="6"/>
      <c r="S749" s="3"/>
      <c r="T749" s="6"/>
      <c r="U749" s="3"/>
      <c r="V749" s="6"/>
      <c r="W749" s="6"/>
      <c r="X749" s="3"/>
      <c r="Y749" s="6"/>
      <c r="Z749" s="3"/>
      <c r="AA749" s="6"/>
      <c r="AB749" s="6"/>
      <c r="AC749" s="3"/>
    </row>
    <row r="750" spans="1:29" ht="15.75" customHeight="1" x14ac:dyDescent="0.2">
      <c r="A750" s="2"/>
      <c r="B750" s="2"/>
      <c r="C750" s="2"/>
      <c r="D750" s="14"/>
      <c r="E750" s="6"/>
      <c r="F750" s="3"/>
      <c r="G750" s="6"/>
      <c r="H750" s="6"/>
      <c r="I750" s="3"/>
      <c r="J750" s="6"/>
      <c r="K750" s="3"/>
      <c r="L750" s="6"/>
      <c r="M750" s="6"/>
      <c r="N750" s="3"/>
      <c r="O750" s="6"/>
      <c r="P750" s="3"/>
      <c r="Q750" s="6"/>
      <c r="R750" s="6"/>
      <c r="S750" s="3"/>
      <c r="T750" s="6"/>
      <c r="U750" s="3"/>
      <c r="V750" s="6"/>
      <c r="W750" s="6"/>
      <c r="X750" s="3"/>
      <c r="Y750" s="6"/>
      <c r="Z750" s="3"/>
      <c r="AA750" s="6"/>
      <c r="AB750" s="6"/>
      <c r="AC750" s="3"/>
    </row>
    <row r="751" spans="1:29" ht="15.75" customHeight="1" x14ac:dyDescent="0.2">
      <c r="A751" s="2"/>
      <c r="B751" s="2"/>
      <c r="C751" s="2"/>
      <c r="D751" s="14"/>
      <c r="E751" s="6"/>
      <c r="F751" s="3"/>
      <c r="G751" s="6"/>
      <c r="H751" s="6"/>
      <c r="I751" s="3"/>
      <c r="J751" s="6"/>
      <c r="K751" s="3"/>
      <c r="L751" s="6"/>
      <c r="M751" s="6"/>
      <c r="N751" s="3"/>
      <c r="O751" s="6"/>
      <c r="P751" s="3"/>
      <c r="Q751" s="6"/>
      <c r="R751" s="6"/>
      <c r="S751" s="3"/>
      <c r="T751" s="6"/>
      <c r="U751" s="3"/>
      <c r="V751" s="6"/>
      <c r="W751" s="6"/>
      <c r="X751" s="3"/>
      <c r="Y751" s="6"/>
      <c r="Z751" s="3"/>
      <c r="AA751" s="6"/>
      <c r="AB751" s="6"/>
      <c r="AC751" s="3"/>
    </row>
    <row r="752" spans="1:29" ht="15.75" customHeight="1" x14ac:dyDescent="0.2">
      <c r="A752" s="2"/>
      <c r="B752" s="2"/>
      <c r="C752" s="2"/>
      <c r="D752" s="14"/>
      <c r="E752" s="6"/>
      <c r="F752" s="3"/>
      <c r="G752" s="6"/>
      <c r="H752" s="6"/>
      <c r="I752" s="3"/>
      <c r="J752" s="6"/>
      <c r="K752" s="3"/>
      <c r="L752" s="6"/>
      <c r="M752" s="6"/>
      <c r="N752" s="3"/>
      <c r="O752" s="6"/>
      <c r="P752" s="3"/>
      <c r="Q752" s="6"/>
      <c r="R752" s="6"/>
      <c r="S752" s="3"/>
      <c r="T752" s="6"/>
      <c r="U752" s="3"/>
      <c r="V752" s="6"/>
      <c r="W752" s="6"/>
      <c r="X752" s="3"/>
      <c r="Y752" s="6"/>
      <c r="Z752" s="3"/>
      <c r="AA752" s="6"/>
      <c r="AB752" s="6"/>
      <c r="AC752" s="3"/>
    </row>
    <row r="753" spans="1:29" ht="15.75" customHeight="1" x14ac:dyDescent="0.2">
      <c r="A753" s="2"/>
      <c r="B753" s="2"/>
      <c r="C753" s="2"/>
      <c r="D753" s="14"/>
      <c r="E753" s="6"/>
      <c r="F753" s="3"/>
      <c r="G753" s="6"/>
      <c r="H753" s="6"/>
      <c r="I753" s="3"/>
      <c r="J753" s="6"/>
      <c r="K753" s="3"/>
      <c r="L753" s="6"/>
      <c r="M753" s="6"/>
      <c r="N753" s="3"/>
      <c r="O753" s="6"/>
      <c r="P753" s="3"/>
      <c r="Q753" s="6"/>
      <c r="R753" s="6"/>
      <c r="S753" s="3"/>
      <c r="T753" s="6"/>
      <c r="U753" s="3"/>
      <c r="V753" s="6"/>
      <c r="W753" s="6"/>
      <c r="X753" s="3"/>
      <c r="Y753" s="6"/>
      <c r="Z753" s="3"/>
      <c r="AA753" s="6"/>
      <c r="AB753" s="6"/>
      <c r="AC753" s="3"/>
    </row>
    <row r="754" spans="1:29" ht="15.75" customHeight="1" x14ac:dyDescent="0.2">
      <c r="A754" s="2"/>
      <c r="B754" s="2"/>
      <c r="C754" s="2"/>
      <c r="D754" s="14"/>
      <c r="E754" s="6"/>
      <c r="F754" s="3"/>
      <c r="G754" s="6"/>
      <c r="H754" s="6"/>
      <c r="I754" s="3"/>
      <c r="J754" s="6"/>
      <c r="K754" s="3"/>
      <c r="L754" s="6"/>
      <c r="M754" s="6"/>
      <c r="N754" s="3"/>
      <c r="O754" s="6"/>
      <c r="P754" s="3"/>
      <c r="Q754" s="6"/>
      <c r="R754" s="6"/>
      <c r="S754" s="3"/>
      <c r="T754" s="6"/>
      <c r="U754" s="3"/>
      <c r="V754" s="6"/>
      <c r="W754" s="6"/>
      <c r="X754" s="3"/>
      <c r="Y754" s="6"/>
      <c r="Z754" s="3"/>
      <c r="AA754" s="6"/>
      <c r="AB754" s="6"/>
      <c r="AC754" s="3"/>
    </row>
    <row r="755" spans="1:29" ht="15.75" customHeight="1" x14ac:dyDescent="0.2">
      <c r="A755" s="2"/>
      <c r="B755" s="2"/>
      <c r="C755" s="2"/>
      <c r="D755" s="14"/>
      <c r="E755" s="6"/>
      <c r="F755" s="3"/>
      <c r="G755" s="6"/>
      <c r="H755" s="6"/>
      <c r="I755" s="3"/>
      <c r="J755" s="6"/>
      <c r="K755" s="3"/>
      <c r="L755" s="6"/>
      <c r="M755" s="6"/>
      <c r="N755" s="3"/>
      <c r="O755" s="6"/>
      <c r="P755" s="3"/>
      <c r="Q755" s="6"/>
      <c r="R755" s="6"/>
      <c r="S755" s="3"/>
      <c r="T755" s="6"/>
      <c r="U755" s="3"/>
      <c r="V755" s="6"/>
      <c r="W755" s="6"/>
      <c r="X755" s="3"/>
      <c r="Y755" s="6"/>
      <c r="Z755" s="3"/>
      <c r="AA755" s="6"/>
      <c r="AB755" s="6"/>
      <c r="AC755" s="3"/>
    </row>
    <row r="756" spans="1:29" ht="15.75" customHeight="1" x14ac:dyDescent="0.2">
      <c r="A756" s="2"/>
      <c r="B756" s="2"/>
      <c r="C756" s="2"/>
      <c r="D756" s="14"/>
      <c r="E756" s="6"/>
      <c r="F756" s="3"/>
      <c r="G756" s="6"/>
      <c r="H756" s="6"/>
      <c r="I756" s="3"/>
      <c r="J756" s="6"/>
      <c r="K756" s="3"/>
      <c r="L756" s="6"/>
      <c r="M756" s="6"/>
      <c r="N756" s="3"/>
      <c r="O756" s="6"/>
      <c r="P756" s="3"/>
      <c r="Q756" s="6"/>
      <c r="R756" s="6"/>
      <c r="S756" s="3"/>
      <c r="T756" s="6"/>
      <c r="U756" s="3"/>
      <c r="V756" s="6"/>
      <c r="W756" s="6"/>
      <c r="X756" s="3"/>
      <c r="Y756" s="6"/>
      <c r="Z756" s="3"/>
      <c r="AA756" s="6"/>
      <c r="AB756" s="6"/>
      <c r="AC756" s="3"/>
    </row>
    <row r="757" spans="1:29" ht="15.75" customHeight="1" x14ac:dyDescent="0.2">
      <c r="A757" s="2"/>
      <c r="B757" s="2"/>
      <c r="C757" s="2"/>
      <c r="D757" s="14"/>
      <c r="E757" s="6"/>
      <c r="F757" s="3"/>
      <c r="G757" s="6"/>
      <c r="H757" s="6"/>
      <c r="I757" s="3"/>
      <c r="J757" s="6"/>
      <c r="K757" s="3"/>
      <c r="L757" s="6"/>
      <c r="M757" s="6"/>
      <c r="N757" s="3"/>
      <c r="O757" s="6"/>
      <c r="P757" s="3"/>
      <c r="Q757" s="6"/>
      <c r="R757" s="6"/>
      <c r="S757" s="3"/>
      <c r="T757" s="6"/>
      <c r="U757" s="3"/>
      <c r="V757" s="6"/>
      <c r="W757" s="6"/>
      <c r="X757" s="3"/>
      <c r="Y757" s="6"/>
      <c r="Z757" s="3"/>
      <c r="AA757" s="6"/>
      <c r="AB757" s="6"/>
      <c r="AC757" s="3"/>
    </row>
    <row r="758" spans="1:29" ht="15.75" customHeight="1" x14ac:dyDescent="0.2">
      <c r="A758" s="2"/>
      <c r="B758" s="2"/>
      <c r="C758" s="2"/>
      <c r="D758" s="14"/>
      <c r="E758" s="6"/>
      <c r="F758" s="3"/>
      <c r="G758" s="6"/>
      <c r="H758" s="6"/>
      <c r="I758" s="3"/>
      <c r="J758" s="6"/>
      <c r="K758" s="3"/>
      <c r="L758" s="6"/>
      <c r="M758" s="6"/>
      <c r="N758" s="3"/>
      <c r="O758" s="6"/>
      <c r="P758" s="3"/>
      <c r="Q758" s="6"/>
      <c r="R758" s="6"/>
      <c r="S758" s="3"/>
      <c r="T758" s="6"/>
      <c r="U758" s="3"/>
      <c r="V758" s="6"/>
      <c r="W758" s="6"/>
      <c r="X758" s="3"/>
      <c r="Y758" s="6"/>
      <c r="Z758" s="3"/>
      <c r="AA758" s="6"/>
      <c r="AB758" s="6"/>
      <c r="AC758" s="3"/>
    </row>
    <row r="759" spans="1:29" ht="15.75" customHeight="1" x14ac:dyDescent="0.2">
      <c r="A759" s="2"/>
      <c r="B759" s="2"/>
      <c r="C759" s="2"/>
      <c r="D759" s="14"/>
      <c r="E759" s="6"/>
      <c r="F759" s="3"/>
      <c r="G759" s="6"/>
      <c r="H759" s="6"/>
      <c r="I759" s="3"/>
      <c r="J759" s="6"/>
      <c r="K759" s="3"/>
      <c r="L759" s="6"/>
      <c r="M759" s="6"/>
      <c r="N759" s="3"/>
      <c r="O759" s="6"/>
      <c r="P759" s="3"/>
      <c r="Q759" s="6"/>
      <c r="R759" s="6"/>
      <c r="S759" s="3"/>
      <c r="T759" s="6"/>
      <c r="U759" s="3"/>
      <c r="V759" s="6"/>
      <c r="W759" s="6"/>
      <c r="X759" s="3"/>
      <c r="Y759" s="6"/>
      <c r="Z759" s="3"/>
      <c r="AA759" s="6"/>
      <c r="AB759" s="6"/>
      <c r="AC759" s="3"/>
    </row>
    <row r="760" spans="1:29" ht="15.75" customHeight="1" x14ac:dyDescent="0.2">
      <c r="A760" s="2"/>
      <c r="B760" s="2"/>
      <c r="C760" s="2"/>
      <c r="D760" s="14"/>
      <c r="E760" s="6"/>
      <c r="F760" s="3"/>
      <c r="G760" s="6"/>
      <c r="H760" s="6"/>
      <c r="I760" s="3"/>
      <c r="J760" s="6"/>
      <c r="K760" s="3"/>
      <c r="L760" s="6"/>
      <c r="M760" s="6"/>
      <c r="N760" s="3"/>
      <c r="O760" s="6"/>
      <c r="P760" s="3"/>
      <c r="Q760" s="6"/>
      <c r="R760" s="6"/>
      <c r="S760" s="3"/>
      <c r="T760" s="6"/>
      <c r="U760" s="3"/>
      <c r="V760" s="6"/>
      <c r="W760" s="6"/>
      <c r="X760" s="3"/>
      <c r="Y760" s="6"/>
      <c r="Z760" s="3"/>
      <c r="AA760" s="6"/>
      <c r="AB760" s="6"/>
      <c r="AC760" s="3"/>
    </row>
    <row r="761" spans="1:29" ht="15.75" customHeight="1" x14ac:dyDescent="0.2">
      <c r="A761" s="2"/>
      <c r="B761" s="2"/>
      <c r="C761" s="2"/>
      <c r="D761" s="14"/>
      <c r="E761" s="6"/>
      <c r="F761" s="3"/>
      <c r="G761" s="6"/>
      <c r="H761" s="6"/>
      <c r="I761" s="3"/>
      <c r="J761" s="6"/>
      <c r="K761" s="3"/>
      <c r="L761" s="6"/>
      <c r="M761" s="6"/>
      <c r="N761" s="3"/>
      <c r="O761" s="6"/>
      <c r="P761" s="3"/>
      <c r="Q761" s="6"/>
      <c r="R761" s="6"/>
      <c r="S761" s="3"/>
      <c r="T761" s="6"/>
      <c r="U761" s="3"/>
      <c r="V761" s="6"/>
      <c r="W761" s="6"/>
      <c r="X761" s="3"/>
      <c r="Y761" s="6"/>
      <c r="Z761" s="3"/>
      <c r="AA761" s="6"/>
      <c r="AB761" s="6"/>
      <c r="AC761" s="3"/>
    </row>
    <row r="762" spans="1:29" ht="15.75" customHeight="1" x14ac:dyDescent="0.2">
      <c r="A762" s="2"/>
      <c r="B762" s="2"/>
      <c r="C762" s="2"/>
      <c r="D762" s="14"/>
      <c r="E762" s="6"/>
      <c r="F762" s="3"/>
      <c r="G762" s="6"/>
      <c r="H762" s="6"/>
      <c r="I762" s="3"/>
      <c r="J762" s="6"/>
      <c r="K762" s="3"/>
      <c r="L762" s="6"/>
      <c r="M762" s="6"/>
      <c r="N762" s="3"/>
      <c r="O762" s="6"/>
      <c r="P762" s="3"/>
      <c r="Q762" s="6"/>
      <c r="R762" s="6"/>
      <c r="S762" s="3"/>
      <c r="T762" s="6"/>
      <c r="U762" s="3"/>
      <c r="V762" s="6"/>
      <c r="W762" s="6"/>
      <c r="X762" s="3"/>
      <c r="Y762" s="6"/>
      <c r="Z762" s="3"/>
      <c r="AA762" s="6"/>
      <c r="AB762" s="6"/>
      <c r="AC762" s="3"/>
    </row>
    <row r="763" spans="1:29" ht="15.75" customHeight="1" x14ac:dyDescent="0.2">
      <c r="A763" s="2"/>
      <c r="B763" s="2"/>
      <c r="C763" s="2"/>
      <c r="D763" s="14"/>
      <c r="E763" s="6"/>
      <c r="F763" s="3"/>
      <c r="G763" s="6"/>
      <c r="H763" s="6"/>
      <c r="I763" s="3"/>
      <c r="J763" s="6"/>
      <c r="K763" s="3"/>
      <c r="L763" s="6"/>
      <c r="M763" s="6"/>
      <c r="N763" s="3"/>
      <c r="O763" s="6"/>
      <c r="P763" s="3"/>
      <c r="Q763" s="6"/>
      <c r="R763" s="6"/>
      <c r="S763" s="3"/>
      <c r="T763" s="6"/>
      <c r="U763" s="3"/>
      <c r="V763" s="6"/>
      <c r="W763" s="6"/>
      <c r="X763" s="3"/>
      <c r="Y763" s="6"/>
      <c r="Z763" s="3"/>
      <c r="AA763" s="6"/>
      <c r="AB763" s="6"/>
      <c r="AC763" s="3"/>
    </row>
    <row r="764" spans="1:29" ht="15.75" customHeight="1" x14ac:dyDescent="0.2">
      <c r="A764" s="2"/>
      <c r="B764" s="2"/>
      <c r="C764" s="2"/>
      <c r="D764" s="14"/>
      <c r="E764" s="6"/>
      <c r="F764" s="3"/>
      <c r="G764" s="6"/>
      <c r="H764" s="6"/>
      <c r="I764" s="3"/>
      <c r="J764" s="6"/>
      <c r="K764" s="3"/>
      <c r="L764" s="6"/>
      <c r="M764" s="6"/>
      <c r="N764" s="3"/>
      <c r="O764" s="6"/>
      <c r="P764" s="3"/>
      <c r="Q764" s="6"/>
      <c r="R764" s="6"/>
      <c r="S764" s="3"/>
      <c r="T764" s="6"/>
      <c r="U764" s="3"/>
      <c r="V764" s="6"/>
      <c r="W764" s="6"/>
      <c r="X764" s="3"/>
      <c r="Y764" s="6"/>
      <c r="Z764" s="3"/>
      <c r="AA764" s="6"/>
      <c r="AB764" s="6"/>
      <c r="AC764" s="3"/>
    </row>
    <row r="765" spans="1:29" ht="15.75" customHeight="1" x14ac:dyDescent="0.2">
      <c r="A765" s="2"/>
      <c r="B765" s="2"/>
      <c r="C765" s="2"/>
      <c r="D765" s="14"/>
      <c r="E765" s="6"/>
      <c r="F765" s="3"/>
      <c r="G765" s="6"/>
      <c r="H765" s="6"/>
      <c r="I765" s="3"/>
      <c r="J765" s="6"/>
      <c r="K765" s="3"/>
      <c r="L765" s="6"/>
      <c r="M765" s="6"/>
      <c r="N765" s="3"/>
      <c r="O765" s="6"/>
      <c r="P765" s="3"/>
      <c r="Q765" s="6"/>
      <c r="R765" s="6"/>
      <c r="S765" s="3"/>
      <c r="T765" s="6"/>
      <c r="U765" s="3"/>
      <c r="V765" s="6"/>
      <c r="W765" s="6"/>
      <c r="X765" s="3"/>
      <c r="Y765" s="6"/>
      <c r="Z765" s="3"/>
      <c r="AA765" s="6"/>
      <c r="AB765" s="6"/>
      <c r="AC765" s="3"/>
    </row>
    <row r="766" spans="1:29" ht="15.75" customHeight="1" x14ac:dyDescent="0.2">
      <c r="A766" s="2"/>
      <c r="B766" s="2"/>
      <c r="C766" s="2"/>
      <c r="D766" s="14"/>
      <c r="E766" s="6"/>
      <c r="F766" s="3"/>
      <c r="G766" s="6"/>
      <c r="H766" s="6"/>
      <c r="I766" s="3"/>
      <c r="J766" s="6"/>
      <c r="K766" s="3"/>
      <c r="L766" s="6"/>
      <c r="M766" s="6"/>
      <c r="N766" s="3"/>
      <c r="O766" s="6"/>
      <c r="P766" s="3"/>
      <c r="Q766" s="6"/>
      <c r="R766" s="6"/>
      <c r="S766" s="3"/>
      <c r="T766" s="6"/>
      <c r="U766" s="3"/>
      <c r="V766" s="6"/>
      <c r="W766" s="6"/>
      <c r="X766" s="3"/>
      <c r="Y766" s="6"/>
      <c r="Z766" s="3"/>
      <c r="AA766" s="6"/>
      <c r="AB766" s="6"/>
      <c r="AC766" s="3"/>
    </row>
    <row r="767" spans="1:29" ht="15.75" customHeight="1" x14ac:dyDescent="0.2">
      <c r="A767" s="2"/>
      <c r="B767" s="2"/>
      <c r="C767" s="2"/>
      <c r="D767" s="14"/>
      <c r="E767" s="6"/>
      <c r="F767" s="3"/>
      <c r="G767" s="6"/>
      <c r="H767" s="6"/>
      <c r="I767" s="3"/>
      <c r="J767" s="6"/>
      <c r="K767" s="3"/>
      <c r="L767" s="6"/>
      <c r="M767" s="6"/>
      <c r="N767" s="3"/>
      <c r="O767" s="6"/>
      <c r="P767" s="3"/>
      <c r="Q767" s="6"/>
      <c r="R767" s="6"/>
      <c r="S767" s="3"/>
      <c r="T767" s="6"/>
      <c r="U767" s="3"/>
      <c r="V767" s="6"/>
      <c r="W767" s="6"/>
      <c r="X767" s="3"/>
      <c r="Y767" s="6"/>
      <c r="Z767" s="3"/>
      <c r="AA767" s="6"/>
      <c r="AB767" s="6"/>
      <c r="AC767" s="3"/>
    </row>
    <row r="768" spans="1:29" ht="15.75" customHeight="1" x14ac:dyDescent="0.2">
      <c r="A768" s="2"/>
      <c r="B768" s="2"/>
      <c r="C768" s="2"/>
      <c r="D768" s="14"/>
      <c r="E768" s="6"/>
      <c r="F768" s="3"/>
      <c r="G768" s="6"/>
      <c r="H768" s="6"/>
      <c r="I768" s="3"/>
      <c r="J768" s="6"/>
      <c r="K768" s="3"/>
      <c r="L768" s="6"/>
      <c r="M768" s="6"/>
      <c r="N768" s="3"/>
      <c r="O768" s="6"/>
      <c r="P768" s="3"/>
      <c r="Q768" s="6"/>
      <c r="R768" s="6"/>
      <c r="S768" s="3"/>
      <c r="T768" s="6"/>
      <c r="U768" s="3"/>
      <c r="V768" s="6"/>
      <c r="W768" s="6"/>
      <c r="X768" s="3"/>
      <c r="Y768" s="6"/>
      <c r="Z768" s="3"/>
      <c r="AA768" s="6"/>
      <c r="AB768" s="6"/>
      <c r="AC768" s="3"/>
    </row>
    <row r="769" spans="1:29" ht="15.75" customHeight="1" x14ac:dyDescent="0.2">
      <c r="A769" s="2"/>
      <c r="B769" s="2"/>
      <c r="C769" s="2"/>
      <c r="D769" s="14"/>
      <c r="E769" s="6"/>
      <c r="F769" s="3"/>
      <c r="G769" s="6"/>
      <c r="H769" s="6"/>
      <c r="I769" s="3"/>
      <c r="J769" s="6"/>
      <c r="K769" s="3"/>
      <c r="L769" s="6"/>
      <c r="M769" s="6"/>
      <c r="N769" s="3"/>
      <c r="O769" s="6"/>
      <c r="P769" s="3"/>
      <c r="Q769" s="6"/>
      <c r="R769" s="6"/>
      <c r="S769" s="3"/>
      <c r="T769" s="6"/>
      <c r="U769" s="3"/>
      <c r="V769" s="6"/>
      <c r="W769" s="6"/>
      <c r="X769" s="3"/>
      <c r="Y769" s="6"/>
      <c r="Z769" s="3"/>
      <c r="AA769" s="6"/>
      <c r="AB769" s="6"/>
      <c r="AC769" s="3"/>
    </row>
    <row r="770" spans="1:29" ht="15.75" customHeight="1" x14ac:dyDescent="0.2">
      <c r="A770" s="2"/>
      <c r="B770" s="2"/>
      <c r="C770" s="2"/>
      <c r="D770" s="14"/>
      <c r="E770" s="6"/>
      <c r="F770" s="3"/>
      <c r="G770" s="6"/>
      <c r="H770" s="6"/>
      <c r="I770" s="3"/>
      <c r="J770" s="6"/>
      <c r="K770" s="3"/>
      <c r="L770" s="6"/>
      <c r="M770" s="6"/>
      <c r="N770" s="3"/>
      <c r="O770" s="6"/>
      <c r="P770" s="3"/>
      <c r="Q770" s="6"/>
      <c r="R770" s="6"/>
      <c r="S770" s="3"/>
      <c r="T770" s="6"/>
      <c r="U770" s="3"/>
      <c r="V770" s="6"/>
      <c r="W770" s="6"/>
      <c r="X770" s="3"/>
      <c r="Y770" s="6"/>
      <c r="Z770" s="3"/>
      <c r="AA770" s="6"/>
      <c r="AB770" s="6"/>
      <c r="AC770" s="3"/>
    </row>
    <row r="771" spans="1:29" ht="15.75" customHeight="1" x14ac:dyDescent="0.2">
      <c r="A771" s="2"/>
      <c r="B771" s="2"/>
      <c r="C771" s="2"/>
      <c r="D771" s="14"/>
      <c r="E771" s="6"/>
      <c r="F771" s="3"/>
      <c r="G771" s="6"/>
      <c r="H771" s="6"/>
      <c r="I771" s="3"/>
      <c r="J771" s="6"/>
      <c r="K771" s="3"/>
      <c r="L771" s="6"/>
      <c r="M771" s="6"/>
      <c r="N771" s="3"/>
      <c r="O771" s="6"/>
      <c r="P771" s="3"/>
      <c r="Q771" s="6"/>
      <c r="R771" s="6"/>
      <c r="S771" s="3"/>
      <c r="T771" s="6"/>
      <c r="U771" s="3"/>
      <c r="V771" s="6"/>
      <c r="W771" s="6"/>
      <c r="X771" s="3"/>
      <c r="Y771" s="6"/>
      <c r="Z771" s="3"/>
      <c r="AA771" s="6"/>
      <c r="AB771" s="6"/>
      <c r="AC771" s="3"/>
    </row>
    <row r="772" spans="1:29" ht="15.75" customHeight="1" x14ac:dyDescent="0.2">
      <c r="A772" s="2"/>
      <c r="B772" s="2"/>
      <c r="C772" s="2"/>
      <c r="D772" s="14"/>
      <c r="E772" s="6"/>
      <c r="F772" s="3"/>
      <c r="G772" s="6"/>
      <c r="H772" s="6"/>
      <c r="I772" s="3"/>
      <c r="J772" s="6"/>
      <c r="K772" s="3"/>
      <c r="L772" s="6"/>
      <c r="M772" s="6"/>
      <c r="N772" s="3"/>
      <c r="O772" s="6"/>
      <c r="P772" s="3"/>
      <c r="Q772" s="6"/>
      <c r="R772" s="6"/>
      <c r="S772" s="3"/>
      <c r="T772" s="6"/>
      <c r="U772" s="3"/>
      <c r="V772" s="6"/>
      <c r="W772" s="6"/>
      <c r="X772" s="3"/>
      <c r="Y772" s="6"/>
      <c r="Z772" s="3"/>
      <c r="AA772" s="6"/>
      <c r="AB772" s="6"/>
      <c r="AC772" s="3"/>
    </row>
    <row r="773" spans="1:29" ht="15.75" customHeight="1" x14ac:dyDescent="0.2">
      <c r="A773" s="2"/>
      <c r="B773" s="2"/>
      <c r="C773" s="2"/>
      <c r="D773" s="14"/>
      <c r="E773" s="6"/>
      <c r="F773" s="3"/>
      <c r="G773" s="6"/>
      <c r="H773" s="6"/>
      <c r="I773" s="3"/>
      <c r="J773" s="6"/>
      <c r="K773" s="3"/>
      <c r="L773" s="6"/>
      <c r="M773" s="6"/>
      <c r="N773" s="3"/>
      <c r="O773" s="6"/>
      <c r="P773" s="3"/>
      <c r="Q773" s="6"/>
      <c r="R773" s="6"/>
      <c r="S773" s="3"/>
      <c r="T773" s="6"/>
      <c r="U773" s="3"/>
      <c r="V773" s="6"/>
      <c r="W773" s="6"/>
      <c r="X773" s="3"/>
      <c r="Y773" s="6"/>
      <c r="Z773" s="3"/>
      <c r="AA773" s="6"/>
      <c r="AB773" s="6"/>
      <c r="AC773" s="3"/>
    </row>
    <row r="774" spans="1:29" ht="15.75" customHeight="1" x14ac:dyDescent="0.2">
      <c r="A774" s="2"/>
      <c r="B774" s="2"/>
      <c r="C774" s="2"/>
      <c r="D774" s="14"/>
      <c r="E774" s="6"/>
      <c r="F774" s="3"/>
      <c r="G774" s="6"/>
      <c r="H774" s="6"/>
      <c r="I774" s="3"/>
      <c r="J774" s="6"/>
      <c r="K774" s="3"/>
      <c r="L774" s="6"/>
      <c r="M774" s="6"/>
      <c r="N774" s="3"/>
      <c r="O774" s="6"/>
      <c r="P774" s="3"/>
      <c r="Q774" s="6"/>
      <c r="R774" s="6"/>
      <c r="S774" s="3"/>
      <c r="T774" s="6"/>
      <c r="U774" s="3"/>
      <c r="V774" s="6"/>
      <c r="W774" s="6"/>
      <c r="X774" s="3"/>
      <c r="Y774" s="6"/>
      <c r="Z774" s="3"/>
      <c r="AA774" s="6"/>
      <c r="AB774" s="6"/>
      <c r="AC774" s="3"/>
    </row>
    <row r="775" spans="1:29" ht="15.75" customHeight="1" x14ac:dyDescent="0.2">
      <c r="A775" s="2"/>
      <c r="B775" s="2"/>
      <c r="C775" s="2"/>
      <c r="D775" s="14"/>
      <c r="E775" s="6"/>
      <c r="F775" s="3"/>
      <c r="G775" s="6"/>
      <c r="H775" s="6"/>
      <c r="I775" s="3"/>
      <c r="J775" s="6"/>
      <c r="K775" s="3"/>
      <c r="L775" s="6"/>
      <c r="M775" s="6"/>
      <c r="N775" s="3"/>
      <c r="O775" s="6"/>
      <c r="P775" s="3"/>
      <c r="Q775" s="6"/>
      <c r="R775" s="6"/>
      <c r="S775" s="3"/>
      <c r="T775" s="6"/>
      <c r="U775" s="3"/>
      <c r="V775" s="6"/>
      <c r="W775" s="6"/>
      <c r="X775" s="3"/>
      <c r="Y775" s="6"/>
      <c r="Z775" s="3"/>
      <c r="AA775" s="6"/>
      <c r="AB775" s="6"/>
      <c r="AC775" s="3"/>
    </row>
    <row r="776" spans="1:29" ht="15.75" customHeight="1" x14ac:dyDescent="0.2">
      <c r="A776" s="2"/>
      <c r="B776" s="2"/>
      <c r="C776" s="2"/>
      <c r="D776" s="14"/>
      <c r="E776" s="6"/>
      <c r="F776" s="3"/>
      <c r="G776" s="6"/>
      <c r="H776" s="6"/>
      <c r="I776" s="3"/>
      <c r="J776" s="6"/>
      <c r="K776" s="3"/>
      <c r="L776" s="6"/>
      <c r="M776" s="6"/>
      <c r="N776" s="3"/>
      <c r="O776" s="6"/>
      <c r="P776" s="3"/>
      <c r="Q776" s="6"/>
      <c r="R776" s="6"/>
      <c r="S776" s="3"/>
      <c r="T776" s="6"/>
      <c r="U776" s="3"/>
      <c r="V776" s="6"/>
      <c r="W776" s="6"/>
      <c r="X776" s="3"/>
      <c r="Y776" s="6"/>
      <c r="Z776" s="3"/>
      <c r="AA776" s="6"/>
      <c r="AB776" s="6"/>
      <c r="AC776" s="3"/>
    </row>
    <row r="777" spans="1:29" ht="15.75" customHeight="1" x14ac:dyDescent="0.2">
      <c r="A777" s="2"/>
      <c r="B777" s="2"/>
      <c r="C777" s="2"/>
      <c r="D777" s="14"/>
      <c r="E777" s="6"/>
      <c r="F777" s="3"/>
      <c r="G777" s="6"/>
      <c r="H777" s="6"/>
      <c r="I777" s="3"/>
      <c r="J777" s="6"/>
      <c r="K777" s="3"/>
      <c r="L777" s="6"/>
      <c r="M777" s="6"/>
      <c r="N777" s="3"/>
      <c r="O777" s="6"/>
      <c r="P777" s="3"/>
      <c r="Q777" s="6"/>
      <c r="R777" s="6"/>
      <c r="S777" s="3"/>
      <c r="T777" s="6"/>
      <c r="U777" s="3"/>
      <c r="V777" s="6"/>
      <c r="W777" s="6"/>
      <c r="X777" s="3"/>
      <c r="Y777" s="6"/>
      <c r="Z777" s="3"/>
      <c r="AA777" s="6"/>
      <c r="AB777" s="6"/>
      <c r="AC777" s="3"/>
    </row>
    <row r="778" spans="1:29" ht="15.75" customHeight="1" x14ac:dyDescent="0.2">
      <c r="A778" s="2"/>
      <c r="B778" s="2"/>
      <c r="C778" s="2"/>
      <c r="D778" s="14"/>
      <c r="E778" s="6"/>
      <c r="F778" s="3"/>
      <c r="G778" s="6"/>
      <c r="H778" s="6"/>
      <c r="I778" s="3"/>
      <c r="J778" s="6"/>
      <c r="K778" s="3"/>
      <c r="L778" s="6"/>
      <c r="M778" s="6"/>
      <c r="N778" s="3"/>
      <c r="O778" s="6"/>
      <c r="P778" s="3"/>
      <c r="Q778" s="6"/>
      <c r="R778" s="6"/>
      <c r="S778" s="3"/>
      <c r="T778" s="6"/>
      <c r="U778" s="3"/>
      <c r="V778" s="6"/>
      <c r="W778" s="6"/>
      <c r="X778" s="3"/>
      <c r="Y778" s="6"/>
      <c r="Z778" s="3"/>
      <c r="AA778" s="6"/>
      <c r="AB778" s="6"/>
      <c r="AC778" s="3"/>
    </row>
    <row r="779" spans="1:29" ht="15.75" customHeight="1" x14ac:dyDescent="0.2">
      <c r="A779" s="2"/>
      <c r="B779" s="2"/>
      <c r="C779" s="2"/>
      <c r="D779" s="14"/>
      <c r="E779" s="6"/>
      <c r="F779" s="3"/>
      <c r="G779" s="6"/>
      <c r="H779" s="6"/>
      <c r="I779" s="3"/>
      <c r="J779" s="6"/>
      <c r="K779" s="3"/>
      <c r="L779" s="6"/>
      <c r="M779" s="6"/>
      <c r="N779" s="3"/>
      <c r="O779" s="6"/>
      <c r="P779" s="3"/>
      <c r="Q779" s="6"/>
      <c r="R779" s="6"/>
      <c r="S779" s="3"/>
      <c r="T779" s="6"/>
      <c r="U779" s="3"/>
      <c r="V779" s="6"/>
      <c r="W779" s="6"/>
      <c r="X779" s="3"/>
      <c r="Y779" s="6"/>
      <c r="Z779" s="3"/>
      <c r="AA779" s="6"/>
      <c r="AB779" s="6"/>
      <c r="AC779" s="3"/>
    </row>
    <row r="780" spans="1:29" ht="15.75" customHeight="1" x14ac:dyDescent="0.2">
      <c r="A780" s="2"/>
      <c r="B780" s="2"/>
      <c r="C780" s="2"/>
      <c r="D780" s="14"/>
      <c r="E780" s="6"/>
      <c r="F780" s="3"/>
      <c r="G780" s="6"/>
      <c r="H780" s="6"/>
      <c r="I780" s="3"/>
      <c r="J780" s="6"/>
      <c r="K780" s="3"/>
      <c r="L780" s="6"/>
      <c r="M780" s="6"/>
      <c r="N780" s="3"/>
      <c r="O780" s="6"/>
      <c r="P780" s="3"/>
      <c r="Q780" s="6"/>
      <c r="R780" s="6"/>
      <c r="S780" s="3"/>
      <c r="T780" s="6"/>
      <c r="U780" s="3"/>
      <c r="V780" s="6"/>
      <c r="W780" s="6"/>
      <c r="X780" s="3"/>
      <c r="Y780" s="6"/>
      <c r="Z780" s="3"/>
      <c r="AA780" s="6"/>
      <c r="AB780" s="6"/>
      <c r="AC780" s="3"/>
    </row>
    <row r="781" spans="1:29" ht="15.75" customHeight="1" x14ac:dyDescent="0.2">
      <c r="A781" s="2"/>
      <c r="B781" s="2"/>
      <c r="C781" s="2"/>
      <c r="D781" s="14"/>
      <c r="E781" s="6"/>
      <c r="F781" s="3"/>
      <c r="G781" s="6"/>
      <c r="H781" s="6"/>
      <c r="I781" s="3"/>
      <c r="J781" s="6"/>
      <c r="K781" s="3"/>
      <c r="L781" s="6"/>
      <c r="M781" s="6"/>
      <c r="N781" s="3"/>
      <c r="O781" s="6"/>
      <c r="P781" s="3"/>
      <c r="Q781" s="6"/>
      <c r="R781" s="6"/>
      <c r="S781" s="3"/>
      <c r="T781" s="6"/>
      <c r="U781" s="3"/>
      <c r="V781" s="6"/>
      <c r="W781" s="6"/>
      <c r="X781" s="3"/>
      <c r="Y781" s="6"/>
      <c r="Z781" s="3"/>
      <c r="AA781" s="6"/>
      <c r="AB781" s="6"/>
      <c r="AC781" s="3"/>
    </row>
    <row r="782" spans="1:29" ht="15.75" customHeight="1" x14ac:dyDescent="0.2">
      <c r="A782" s="2"/>
      <c r="B782" s="2"/>
      <c r="C782" s="2"/>
      <c r="D782" s="14"/>
      <c r="E782" s="6"/>
      <c r="F782" s="3"/>
      <c r="G782" s="6"/>
      <c r="H782" s="6"/>
      <c r="I782" s="3"/>
      <c r="J782" s="6"/>
      <c r="K782" s="3"/>
      <c r="L782" s="6"/>
      <c r="M782" s="6"/>
      <c r="N782" s="3"/>
      <c r="O782" s="6"/>
      <c r="P782" s="3"/>
      <c r="Q782" s="6"/>
      <c r="R782" s="6"/>
      <c r="S782" s="3"/>
      <c r="T782" s="6"/>
      <c r="U782" s="3"/>
      <c r="V782" s="6"/>
      <c r="W782" s="6"/>
      <c r="X782" s="3"/>
      <c r="Y782" s="6"/>
      <c r="Z782" s="3"/>
      <c r="AA782" s="6"/>
      <c r="AB782" s="6"/>
      <c r="AC782" s="3"/>
    </row>
    <row r="783" spans="1:29" ht="15.75" customHeight="1" x14ac:dyDescent="0.2">
      <c r="A783" s="2"/>
      <c r="B783" s="2"/>
      <c r="C783" s="2"/>
      <c r="D783" s="14"/>
      <c r="E783" s="6"/>
      <c r="F783" s="3"/>
      <c r="G783" s="6"/>
      <c r="H783" s="6"/>
      <c r="I783" s="3"/>
      <c r="J783" s="6"/>
      <c r="K783" s="3"/>
      <c r="L783" s="6"/>
      <c r="M783" s="6"/>
      <c r="N783" s="3"/>
      <c r="O783" s="6"/>
      <c r="P783" s="3"/>
      <c r="Q783" s="6"/>
      <c r="R783" s="6"/>
      <c r="S783" s="3"/>
      <c r="T783" s="6"/>
      <c r="U783" s="3"/>
      <c r="V783" s="6"/>
      <c r="W783" s="6"/>
      <c r="X783" s="3"/>
      <c r="Y783" s="6"/>
      <c r="Z783" s="3"/>
      <c r="AA783" s="6"/>
      <c r="AB783" s="6"/>
      <c r="AC783" s="3"/>
    </row>
    <row r="784" spans="1:29" ht="15.75" customHeight="1" x14ac:dyDescent="0.2">
      <c r="A784" s="2"/>
      <c r="B784" s="2"/>
      <c r="C784" s="2"/>
      <c r="D784" s="14"/>
      <c r="E784" s="6"/>
      <c r="F784" s="3"/>
      <c r="G784" s="6"/>
      <c r="H784" s="6"/>
      <c r="I784" s="3"/>
      <c r="J784" s="6"/>
      <c r="K784" s="3"/>
      <c r="L784" s="6"/>
      <c r="M784" s="6"/>
      <c r="N784" s="3"/>
      <c r="O784" s="6"/>
      <c r="P784" s="3"/>
      <c r="Q784" s="6"/>
      <c r="R784" s="6"/>
      <c r="S784" s="3"/>
      <c r="T784" s="6"/>
      <c r="U784" s="3"/>
      <c r="V784" s="6"/>
      <c r="W784" s="6"/>
      <c r="X784" s="3"/>
      <c r="Y784" s="6"/>
      <c r="Z784" s="3"/>
      <c r="AA784" s="6"/>
      <c r="AB784" s="6"/>
      <c r="AC784" s="3"/>
    </row>
    <row r="785" spans="1:29" ht="15.75" customHeight="1" x14ac:dyDescent="0.2">
      <c r="A785" s="2"/>
      <c r="B785" s="2"/>
      <c r="C785" s="2"/>
      <c r="D785" s="14"/>
      <c r="E785" s="6"/>
      <c r="F785" s="3"/>
      <c r="G785" s="6"/>
      <c r="H785" s="6"/>
      <c r="I785" s="3"/>
      <c r="J785" s="6"/>
      <c r="K785" s="3"/>
      <c r="L785" s="6"/>
      <c r="M785" s="6"/>
      <c r="N785" s="3"/>
      <c r="O785" s="6"/>
      <c r="P785" s="3"/>
      <c r="Q785" s="6"/>
      <c r="R785" s="6"/>
      <c r="S785" s="3"/>
      <c r="T785" s="6"/>
      <c r="U785" s="3"/>
      <c r="V785" s="6"/>
      <c r="W785" s="6"/>
      <c r="X785" s="3"/>
      <c r="Y785" s="6"/>
      <c r="Z785" s="3"/>
      <c r="AA785" s="6"/>
      <c r="AB785" s="6"/>
      <c r="AC785" s="3"/>
    </row>
    <row r="786" spans="1:29" ht="15.75" customHeight="1" x14ac:dyDescent="0.2">
      <c r="A786" s="2"/>
      <c r="B786" s="2"/>
      <c r="C786" s="2"/>
      <c r="D786" s="14"/>
      <c r="E786" s="6"/>
      <c r="F786" s="3"/>
      <c r="G786" s="6"/>
      <c r="H786" s="6"/>
      <c r="I786" s="3"/>
      <c r="J786" s="6"/>
      <c r="K786" s="3"/>
      <c r="L786" s="6"/>
      <c r="M786" s="6"/>
      <c r="N786" s="3"/>
      <c r="O786" s="6"/>
      <c r="P786" s="3"/>
      <c r="Q786" s="6"/>
      <c r="R786" s="6"/>
      <c r="S786" s="3"/>
      <c r="T786" s="6"/>
      <c r="U786" s="3"/>
      <c r="V786" s="6"/>
      <c r="W786" s="6"/>
      <c r="X786" s="3"/>
      <c r="Y786" s="6"/>
      <c r="Z786" s="3"/>
      <c r="AA786" s="6"/>
      <c r="AB786" s="6"/>
      <c r="AC786" s="3"/>
    </row>
    <row r="787" spans="1:29" ht="15.75" customHeight="1" x14ac:dyDescent="0.2">
      <c r="A787" s="2"/>
      <c r="B787" s="2"/>
      <c r="C787" s="2"/>
      <c r="D787" s="14"/>
      <c r="E787" s="6"/>
      <c r="F787" s="3"/>
      <c r="G787" s="6"/>
      <c r="H787" s="6"/>
      <c r="I787" s="3"/>
      <c r="J787" s="6"/>
      <c r="K787" s="3"/>
      <c r="L787" s="6"/>
      <c r="M787" s="6"/>
      <c r="N787" s="3"/>
      <c r="O787" s="6"/>
      <c r="P787" s="3"/>
      <c r="Q787" s="6"/>
      <c r="R787" s="6"/>
      <c r="S787" s="3"/>
      <c r="T787" s="6"/>
      <c r="U787" s="3"/>
      <c r="V787" s="6"/>
      <c r="W787" s="6"/>
      <c r="X787" s="3"/>
      <c r="Y787" s="6"/>
      <c r="Z787" s="3"/>
      <c r="AA787" s="6"/>
      <c r="AB787" s="6"/>
      <c r="AC787" s="3"/>
    </row>
    <row r="788" spans="1:29" ht="15.75" customHeight="1" x14ac:dyDescent="0.2">
      <c r="A788" s="2"/>
      <c r="B788" s="2"/>
      <c r="C788" s="2"/>
      <c r="D788" s="14"/>
      <c r="E788" s="6"/>
      <c r="F788" s="3"/>
      <c r="G788" s="6"/>
      <c r="H788" s="6"/>
      <c r="I788" s="3"/>
      <c r="J788" s="6"/>
      <c r="K788" s="3"/>
      <c r="L788" s="6"/>
      <c r="M788" s="6"/>
      <c r="N788" s="3"/>
      <c r="O788" s="6"/>
      <c r="P788" s="3"/>
      <c r="Q788" s="6"/>
      <c r="R788" s="6"/>
      <c r="S788" s="3"/>
      <c r="T788" s="6"/>
      <c r="U788" s="3"/>
      <c r="V788" s="6"/>
      <c r="W788" s="6"/>
      <c r="X788" s="3"/>
      <c r="Y788" s="6"/>
      <c r="Z788" s="3"/>
      <c r="AA788" s="6"/>
      <c r="AB788" s="6"/>
      <c r="AC788" s="3"/>
    </row>
    <row r="789" spans="1:29" ht="15.75" customHeight="1" x14ac:dyDescent="0.2">
      <c r="A789" s="2"/>
      <c r="B789" s="2"/>
      <c r="C789" s="2"/>
      <c r="D789" s="14"/>
      <c r="E789" s="6"/>
      <c r="F789" s="3"/>
      <c r="G789" s="6"/>
      <c r="H789" s="6"/>
      <c r="I789" s="3"/>
      <c r="J789" s="6"/>
      <c r="K789" s="3"/>
      <c r="L789" s="6"/>
      <c r="M789" s="6"/>
      <c r="N789" s="3"/>
      <c r="O789" s="6"/>
      <c r="P789" s="3"/>
      <c r="Q789" s="6"/>
      <c r="R789" s="6"/>
      <c r="S789" s="3"/>
      <c r="T789" s="6"/>
      <c r="U789" s="3"/>
      <c r="V789" s="6"/>
      <c r="W789" s="6"/>
      <c r="X789" s="3"/>
      <c r="Y789" s="6"/>
      <c r="Z789" s="3"/>
      <c r="AA789" s="6"/>
      <c r="AB789" s="6"/>
      <c r="AC789" s="3"/>
    </row>
    <row r="790" spans="1:29" ht="15.75" customHeight="1" x14ac:dyDescent="0.2">
      <c r="A790" s="2"/>
      <c r="B790" s="2"/>
      <c r="C790" s="2"/>
      <c r="D790" s="14"/>
      <c r="E790" s="6"/>
      <c r="F790" s="3"/>
      <c r="G790" s="6"/>
      <c r="H790" s="6"/>
      <c r="I790" s="3"/>
      <c r="J790" s="6"/>
      <c r="K790" s="3"/>
      <c r="L790" s="6"/>
      <c r="M790" s="6"/>
      <c r="N790" s="3"/>
      <c r="O790" s="6"/>
      <c r="P790" s="3"/>
      <c r="Q790" s="6"/>
      <c r="R790" s="6"/>
      <c r="S790" s="3"/>
      <c r="T790" s="6"/>
      <c r="U790" s="3"/>
      <c r="V790" s="6"/>
      <c r="W790" s="6"/>
      <c r="X790" s="3"/>
      <c r="Y790" s="6"/>
      <c r="Z790" s="3"/>
      <c r="AA790" s="6"/>
      <c r="AB790" s="6"/>
      <c r="AC790" s="3"/>
    </row>
    <row r="791" spans="1:29" ht="15.75" customHeight="1" x14ac:dyDescent="0.2">
      <c r="A791" s="2"/>
      <c r="B791" s="2"/>
      <c r="C791" s="2"/>
      <c r="D791" s="14"/>
      <c r="E791" s="6"/>
      <c r="F791" s="3"/>
      <c r="G791" s="6"/>
      <c r="H791" s="6"/>
      <c r="I791" s="3"/>
      <c r="J791" s="6"/>
      <c r="K791" s="3"/>
      <c r="L791" s="6"/>
      <c r="M791" s="6"/>
      <c r="N791" s="3"/>
      <c r="O791" s="6"/>
      <c r="P791" s="3"/>
      <c r="Q791" s="6"/>
      <c r="R791" s="6"/>
      <c r="S791" s="3"/>
      <c r="T791" s="6"/>
      <c r="U791" s="3"/>
      <c r="V791" s="6"/>
      <c r="W791" s="6"/>
      <c r="X791" s="3"/>
      <c r="Y791" s="6"/>
      <c r="Z791" s="3"/>
      <c r="AA791" s="6"/>
      <c r="AB791" s="6"/>
      <c r="AC791" s="3"/>
    </row>
    <row r="792" spans="1:29" ht="15.75" customHeight="1" x14ac:dyDescent="0.2">
      <c r="A792" s="2"/>
      <c r="B792" s="2"/>
      <c r="C792" s="2"/>
      <c r="D792" s="14"/>
      <c r="E792" s="6"/>
      <c r="F792" s="3"/>
      <c r="G792" s="6"/>
      <c r="H792" s="6"/>
      <c r="I792" s="3"/>
      <c r="J792" s="6"/>
      <c r="K792" s="3"/>
      <c r="L792" s="6"/>
      <c r="M792" s="6"/>
      <c r="N792" s="3"/>
      <c r="O792" s="6"/>
      <c r="P792" s="3"/>
      <c r="Q792" s="6"/>
      <c r="R792" s="6"/>
      <c r="S792" s="3"/>
      <c r="T792" s="6"/>
      <c r="U792" s="3"/>
      <c r="V792" s="6"/>
      <c r="W792" s="6"/>
      <c r="X792" s="3"/>
      <c r="Y792" s="6"/>
      <c r="Z792" s="3"/>
      <c r="AA792" s="6"/>
      <c r="AB792" s="6"/>
      <c r="AC792" s="3"/>
    </row>
    <row r="793" spans="1:29" ht="15.75" customHeight="1" x14ac:dyDescent="0.2">
      <c r="A793" s="2"/>
      <c r="B793" s="2"/>
      <c r="C793" s="2"/>
      <c r="D793" s="14"/>
      <c r="E793" s="6"/>
      <c r="F793" s="3"/>
      <c r="G793" s="6"/>
      <c r="H793" s="6"/>
      <c r="I793" s="3"/>
      <c r="J793" s="6"/>
      <c r="K793" s="3"/>
      <c r="L793" s="6"/>
      <c r="M793" s="6"/>
      <c r="N793" s="3"/>
      <c r="O793" s="6"/>
      <c r="P793" s="3"/>
      <c r="Q793" s="6"/>
      <c r="R793" s="6"/>
      <c r="S793" s="3"/>
      <c r="T793" s="6"/>
      <c r="U793" s="3"/>
      <c r="V793" s="6"/>
      <c r="W793" s="6"/>
      <c r="X793" s="3"/>
      <c r="Y793" s="6"/>
      <c r="Z793" s="3"/>
      <c r="AA793" s="6"/>
      <c r="AB793" s="6"/>
      <c r="AC793" s="3"/>
    </row>
    <row r="794" spans="1:29" ht="15.75" customHeight="1" x14ac:dyDescent="0.2">
      <c r="A794" s="2"/>
      <c r="B794" s="2"/>
      <c r="C794" s="2"/>
      <c r="D794" s="14"/>
      <c r="E794" s="6"/>
      <c r="F794" s="3"/>
      <c r="G794" s="6"/>
      <c r="H794" s="6"/>
      <c r="I794" s="3"/>
      <c r="J794" s="6"/>
      <c r="K794" s="3"/>
      <c r="L794" s="6"/>
      <c r="M794" s="6"/>
      <c r="N794" s="3"/>
      <c r="O794" s="6"/>
      <c r="P794" s="3"/>
      <c r="Q794" s="6"/>
      <c r="R794" s="6"/>
      <c r="S794" s="3"/>
      <c r="T794" s="6"/>
      <c r="U794" s="3"/>
      <c r="V794" s="6"/>
      <c r="W794" s="6"/>
      <c r="X794" s="3"/>
      <c r="Y794" s="6"/>
      <c r="Z794" s="3"/>
      <c r="AA794" s="6"/>
      <c r="AB794" s="6"/>
      <c r="AC794" s="3"/>
    </row>
    <row r="795" spans="1:29" ht="15.75" customHeight="1" x14ac:dyDescent="0.2">
      <c r="A795" s="2"/>
      <c r="B795" s="2"/>
      <c r="C795" s="2"/>
      <c r="D795" s="14"/>
      <c r="E795" s="6"/>
      <c r="F795" s="3"/>
      <c r="G795" s="6"/>
      <c r="H795" s="6"/>
      <c r="I795" s="3"/>
      <c r="J795" s="6"/>
      <c r="K795" s="3"/>
      <c r="L795" s="6"/>
      <c r="M795" s="6"/>
      <c r="N795" s="3"/>
      <c r="O795" s="6"/>
      <c r="P795" s="3"/>
      <c r="Q795" s="6"/>
      <c r="R795" s="6"/>
      <c r="S795" s="3"/>
      <c r="T795" s="6"/>
      <c r="U795" s="3"/>
      <c r="V795" s="6"/>
      <c r="W795" s="6"/>
      <c r="X795" s="3"/>
      <c r="Y795" s="6"/>
      <c r="Z795" s="3"/>
      <c r="AA795" s="6"/>
      <c r="AB795" s="6"/>
      <c r="AC795" s="3"/>
    </row>
    <row r="796" spans="1:29" ht="15.75" customHeight="1" x14ac:dyDescent="0.2">
      <c r="A796" s="2"/>
      <c r="B796" s="2"/>
      <c r="C796" s="2"/>
      <c r="D796" s="14"/>
      <c r="E796" s="6"/>
      <c r="F796" s="3"/>
      <c r="G796" s="6"/>
      <c r="H796" s="6"/>
      <c r="I796" s="3"/>
      <c r="J796" s="6"/>
      <c r="K796" s="3"/>
      <c r="L796" s="6"/>
      <c r="M796" s="6"/>
      <c r="N796" s="3"/>
      <c r="O796" s="6"/>
      <c r="P796" s="3"/>
      <c r="Q796" s="6"/>
      <c r="R796" s="6"/>
      <c r="S796" s="3"/>
      <c r="T796" s="6"/>
      <c r="U796" s="3"/>
      <c r="V796" s="6"/>
      <c r="W796" s="6"/>
      <c r="X796" s="3"/>
      <c r="Y796" s="6"/>
      <c r="Z796" s="3"/>
      <c r="AA796" s="6"/>
      <c r="AB796" s="6"/>
      <c r="AC796" s="3"/>
    </row>
    <row r="797" spans="1:29" ht="15.75" customHeight="1" x14ac:dyDescent="0.2">
      <c r="A797" s="2"/>
      <c r="B797" s="2"/>
      <c r="C797" s="2"/>
      <c r="D797" s="14"/>
      <c r="E797" s="6"/>
      <c r="F797" s="3"/>
      <c r="G797" s="6"/>
      <c r="H797" s="6"/>
      <c r="I797" s="3"/>
      <c r="J797" s="6"/>
      <c r="K797" s="3"/>
      <c r="L797" s="6"/>
      <c r="M797" s="6"/>
      <c r="N797" s="3"/>
      <c r="O797" s="6"/>
      <c r="P797" s="3"/>
      <c r="Q797" s="6"/>
      <c r="R797" s="6"/>
      <c r="S797" s="3"/>
      <c r="T797" s="6"/>
      <c r="U797" s="3"/>
      <c r="V797" s="6"/>
      <c r="W797" s="6"/>
      <c r="X797" s="3"/>
      <c r="Y797" s="6"/>
      <c r="Z797" s="3"/>
      <c r="AA797" s="6"/>
      <c r="AB797" s="6"/>
      <c r="AC797" s="3"/>
    </row>
    <row r="798" spans="1:29" ht="15.75" customHeight="1" x14ac:dyDescent="0.2">
      <c r="A798" s="2"/>
      <c r="B798" s="2"/>
      <c r="C798" s="2"/>
      <c r="D798" s="14"/>
      <c r="E798" s="6"/>
      <c r="F798" s="3"/>
      <c r="G798" s="6"/>
      <c r="H798" s="6"/>
      <c r="I798" s="3"/>
      <c r="J798" s="6"/>
      <c r="K798" s="3"/>
      <c r="L798" s="6"/>
      <c r="M798" s="6"/>
      <c r="N798" s="3"/>
      <c r="O798" s="6"/>
      <c r="P798" s="3"/>
      <c r="Q798" s="6"/>
      <c r="R798" s="6"/>
      <c r="S798" s="3"/>
      <c r="T798" s="6"/>
      <c r="U798" s="3"/>
      <c r="V798" s="6"/>
      <c r="W798" s="6"/>
      <c r="X798" s="3"/>
      <c r="Y798" s="6"/>
      <c r="Z798" s="3"/>
      <c r="AA798" s="6"/>
      <c r="AB798" s="6"/>
      <c r="AC798" s="3"/>
    </row>
    <row r="799" spans="1:29" ht="15.75" customHeight="1" x14ac:dyDescent="0.2">
      <c r="A799" s="2"/>
      <c r="B799" s="2"/>
      <c r="C799" s="2"/>
      <c r="D799" s="14"/>
      <c r="E799" s="6"/>
      <c r="F799" s="3"/>
      <c r="G799" s="6"/>
      <c r="H799" s="6"/>
      <c r="I799" s="3"/>
      <c r="J799" s="6"/>
      <c r="K799" s="3"/>
      <c r="L799" s="6"/>
      <c r="M799" s="6"/>
      <c r="N799" s="3"/>
      <c r="O799" s="6"/>
      <c r="P799" s="3"/>
      <c r="Q799" s="6"/>
      <c r="R799" s="6"/>
      <c r="S799" s="3"/>
      <c r="T799" s="6"/>
      <c r="U799" s="3"/>
      <c r="V799" s="6"/>
      <c r="W799" s="6"/>
      <c r="X799" s="3"/>
      <c r="Y799" s="6"/>
      <c r="Z799" s="3"/>
      <c r="AA799" s="6"/>
      <c r="AB799" s="6"/>
      <c r="AC799" s="3"/>
    </row>
    <row r="800" spans="1:29" ht="15.75" customHeight="1" x14ac:dyDescent="0.2">
      <c r="A800" s="2"/>
      <c r="B800" s="2"/>
      <c r="C800" s="2"/>
      <c r="D800" s="14"/>
      <c r="E800" s="6"/>
      <c r="F800" s="3"/>
      <c r="G800" s="6"/>
      <c r="H800" s="6"/>
      <c r="I800" s="3"/>
      <c r="J800" s="6"/>
      <c r="K800" s="3"/>
      <c r="L800" s="6"/>
      <c r="M800" s="6"/>
      <c r="N800" s="3"/>
      <c r="O800" s="6"/>
      <c r="P800" s="3"/>
      <c r="Q800" s="6"/>
      <c r="R800" s="6"/>
      <c r="S800" s="3"/>
      <c r="T800" s="6"/>
      <c r="U800" s="3"/>
      <c r="V800" s="6"/>
      <c r="W800" s="6"/>
      <c r="X800" s="3"/>
      <c r="Y800" s="6"/>
      <c r="Z800" s="3"/>
      <c r="AA800" s="6"/>
      <c r="AB800" s="6"/>
      <c r="AC800" s="3"/>
    </row>
    <row r="801" spans="1:29" ht="15.75" customHeight="1" x14ac:dyDescent="0.2">
      <c r="A801" s="2"/>
      <c r="B801" s="2"/>
      <c r="C801" s="2"/>
      <c r="D801" s="14"/>
      <c r="E801" s="6"/>
      <c r="F801" s="3"/>
      <c r="G801" s="6"/>
      <c r="H801" s="6"/>
      <c r="I801" s="3"/>
      <c r="J801" s="6"/>
      <c r="K801" s="3"/>
      <c r="L801" s="6"/>
      <c r="M801" s="6"/>
      <c r="N801" s="3"/>
      <c r="O801" s="6"/>
      <c r="P801" s="3"/>
      <c r="Q801" s="6"/>
      <c r="R801" s="6"/>
      <c r="S801" s="3"/>
      <c r="T801" s="6"/>
      <c r="U801" s="3"/>
      <c r="V801" s="6"/>
      <c r="W801" s="6"/>
      <c r="X801" s="3"/>
      <c r="Y801" s="6"/>
      <c r="Z801" s="3"/>
      <c r="AA801" s="6"/>
      <c r="AB801" s="6"/>
      <c r="AC801" s="3"/>
    </row>
    <row r="802" spans="1:29" ht="15.75" customHeight="1" x14ac:dyDescent="0.2">
      <c r="A802" s="2"/>
      <c r="B802" s="2"/>
      <c r="C802" s="2"/>
      <c r="D802" s="14"/>
      <c r="E802" s="6"/>
      <c r="F802" s="3"/>
      <c r="G802" s="6"/>
      <c r="H802" s="6"/>
      <c r="I802" s="3"/>
      <c r="J802" s="6"/>
      <c r="K802" s="3"/>
      <c r="L802" s="6"/>
      <c r="M802" s="6"/>
      <c r="N802" s="3"/>
      <c r="O802" s="6"/>
      <c r="P802" s="3"/>
      <c r="Q802" s="6"/>
      <c r="R802" s="6"/>
      <c r="S802" s="3"/>
      <c r="T802" s="6"/>
      <c r="U802" s="3"/>
      <c r="V802" s="6"/>
      <c r="W802" s="6"/>
      <c r="X802" s="3"/>
      <c r="Y802" s="6"/>
      <c r="Z802" s="3"/>
      <c r="AA802" s="6"/>
      <c r="AB802" s="6"/>
      <c r="AC802" s="3"/>
    </row>
    <row r="803" spans="1:29" ht="15.75" customHeight="1" x14ac:dyDescent="0.2">
      <c r="A803" s="2"/>
      <c r="B803" s="2"/>
      <c r="C803" s="2"/>
      <c r="D803" s="14"/>
      <c r="E803" s="6"/>
      <c r="F803" s="3"/>
      <c r="G803" s="6"/>
      <c r="H803" s="6"/>
      <c r="I803" s="3"/>
      <c r="J803" s="6"/>
      <c r="K803" s="3"/>
      <c r="L803" s="6"/>
      <c r="M803" s="6"/>
      <c r="N803" s="3"/>
      <c r="O803" s="6"/>
      <c r="P803" s="3"/>
      <c r="Q803" s="6"/>
      <c r="R803" s="6"/>
      <c r="S803" s="3"/>
      <c r="T803" s="6"/>
      <c r="U803" s="3"/>
      <c r="V803" s="6"/>
      <c r="W803" s="6"/>
      <c r="X803" s="3"/>
      <c r="Y803" s="6"/>
      <c r="Z803" s="3"/>
      <c r="AA803" s="6"/>
      <c r="AB803" s="6"/>
      <c r="AC803" s="3"/>
    </row>
    <row r="804" spans="1:29" ht="15.75" customHeight="1" x14ac:dyDescent="0.2">
      <c r="A804" s="2"/>
      <c r="B804" s="2"/>
      <c r="C804" s="2"/>
      <c r="D804" s="14"/>
      <c r="E804" s="6"/>
      <c r="F804" s="3"/>
      <c r="G804" s="6"/>
      <c r="H804" s="6"/>
      <c r="I804" s="3"/>
      <c r="J804" s="6"/>
      <c r="K804" s="3"/>
      <c r="L804" s="6"/>
      <c r="M804" s="6"/>
      <c r="N804" s="3"/>
      <c r="O804" s="6"/>
      <c r="P804" s="3"/>
      <c r="Q804" s="6"/>
      <c r="R804" s="6"/>
      <c r="S804" s="3"/>
      <c r="T804" s="6"/>
      <c r="U804" s="3"/>
      <c r="V804" s="6"/>
      <c r="W804" s="6"/>
      <c r="X804" s="3"/>
      <c r="Y804" s="6"/>
      <c r="Z804" s="3"/>
      <c r="AA804" s="6"/>
      <c r="AB804" s="6"/>
      <c r="AC804" s="3"/>
    </row>
    <row r="805" spans="1:29" ht="15.75" customHeight="1" x14ac:dyDescent="0.2">
      <c r="A805" s="2"/>
      <c r="B805" s="2"/>
      <c r="C805" s="2"/>
      <c r="D805" s="14"/>
      <c r="E805" s="6"/>
      <c r="F805" s="3"/>
      <c r="G805" s="6"/>
      <c r="H805" s="6"/>
      <c r="I805" s="3"/>
      <c r="J805" s="6"/>
      <c r="K805" s="3"/>
      <c r="L805" s="6"/>
      <c r="M805" s="6"/>
      <c r="N805" s="3"/>
      <c r="O805" s="6"/>
      <c r="P805" s="3"/>
      <c r="Q805" s="6"/>
      <c r="R805" s="6"/>
      <c r="S805" s="3"/>
      <c r="T805" s="6"/>
      <c r="U805" s="3"/>
      <c r="V805" s="6"/>
      <c r="W805" s="6"/>
      <c r="X805" s="3"/>
      <c r="Y805" s="6"/>
      <c r="Z805" s="3"/>
      <c r="AA805" s="6"/>
      <c r="AB805" s="6"/>
      <c r="AC805" s="3"/>
    </row>
    <row r="806" spans="1:29" ht="15.75" customHeight="1" x14ac:dyDescent="0.2">
      <c r="A806" s="2"/>
      <c r="B806" s="2"/>
      <c r="C806" s="2"/>
      <c r="D806" s="14"/>
      <c r="E806" s="6"/>
      <c r="F806" s="3"/>
      <c r="G806" s="6"/>
      <c r="H806" s="6"/>
      <c r="I806" s="3"/>
      <c r="J806" s="6"/>
      <c r="K806" s="3"/>
      <c r="L806" s="6"/>
      <c r="M806" s="6"/>
      <c r="N806" s="3"/>
      <c r="O806" s="6"/>
      <c r="P806" s="3"/>
      <c r="Q806" s="6"/>
      <c r="R806" s="6"/>
      <c r="S806" s="3"/>
      <c r="T806" s="6"/>
      <c r="U806" s="3"/>
      <c r="V806" s="6"/>
      <c r="W806" s="6"/>
      <c r="X806" s="3"/>
      <c r="Y806" s="6"/>
      <c r="Z806" s="3"/>
      <c r="AA806" s="6"/>
      <c r="AB806" s="6"/>
      <c r="AC806" s="3"/>
    </row>
    <row r="807" spans="1:29" ht="15.75" customHeight="1" x14ac:dyDescent="0.2">
      <c r="A807" s="2"/>
      <c r="B807" s="2"/>
      <c r="C807" s="2"/>
      <c r="D807" s="14"/>
      <c r="E807" s="6"/>
      <c r="F807" s="3"/>
      <c r="G807" s="6"/>
      <c r="H807" s="6"/>
      <c r="I807" s="3"/>
      <c r="J807" s="6"/>
      <c r="K807" s="3"/>
      <c r="L807" s="6"/>
      <c r="M807" s="6"/>
      <c r="N807" s="3"/>
      <c r="O807" s="6"/>
      <c r="P807" s="3"/>
      <c r="Q807" s="6"/>
      <c r="R807" s="6"/>
      <c r="S807" s="3"/>
      <c r="T807" s="6"/>
      <c r="U807" s="3"/>
      <c r="V807" s="6"/>
      <c r="W807" s="6"/>
      <c r="X807" s="3"/>
      <c r="Y807" s="6"/>
      <c r="Z807" s="3"/>
      <c r="AA807" s="6"/>
      <c r="AB807" s="6"/>
      <c r="AC807" s="3"/>
    </row>
    <row r="808" spans="1:29" ht="15.75" customHeight="1" x14ac:dyDescent="0.2">
      <c r="A808" s="2"/>
      <c r="B808" s="2"/>
      <c r="C808" s="2"/>
      <c r="D808" s="14"/>
      <c r="E808" s="6"/>
      <c r="F808" s="3"/>
      <c r="G808" s="6"/>
      <c r="H808" s="6"/>
      <c r="I808" s="3"/>
      <c r="J808" s="6"/>
      <c r="K808" s="3"/>
      <c r="L808" s="6"/>
      <c r="M808" s="6"/>
      <c r="N808" s="3"/>
      <c r="O808" s="6"/>
      <c r="P808" s="3"/>
      <c r="Q808" s="6"/>
      <c r="R808" s="6"/>
      <c r="S808" s="3"/>
      <c r="T808" s="6"/>
      <c r="U808" s="3"/>
      <c r="V808" s="6"/>
      <c r="W808" s="6"/>
      <c r="X808" s="3"/>
      <c r="Y808" s="6"/>
      <c r="Z808" s="3"/>
      <c r="AA808" s="6"/>
      <c r="AB808" s="6"/>
      <c r="AC808" s="3"/>
    </row>
    <row r="809" spans="1:29" ht="15.75" customHeight="1" x14ac:dyDescent="0.2">
      <c r="A809" s="2"/>
      <c r="B809" s="2"/>
      <c r="C809" s="2"/>
      <c r="D809" s="14"/>
      <c r="E809" s="6"/>
      <c r="F809" s="3"/>
      <c r="G809" s="6"/>
      <c r="H809" s="6"/>
      <c r="I809" s="3"/>
      <c r="J809" s="6"/>
      <c r="K809" s="3"/>
      <c r="L809" s="6"/>
      <c r="M809" s="6"/>
      <c r="N809" s="3"/>
      <c r="O809" s="6"/>
      <c r="P809" s="3"/>
      <c r="Q809" s="6"/>
      <c r="R809" s="6"/>
      <c r="S809" s="3"/>
      <c r="T809" s="6"/>
      <c r="U809" s="3"/>
      <c r="V809" s="6"/>
      <c r="W809" s="6"/>
      <c r="X809" s="3"/>
      <c r="Y809" s="6"/>
      <c r="Z809" s="3"/>
      <c r="AA809" s="6"/>
      <c r="AB809" s="6"/>
      <c r="AC809" s="3"/>
    </row>
    <row r="810" spans="1:29" ht="15.75" customHeight="1" x14ac:dyDescent="0.2">
      <c r="A810" s="2"/>
      <c r="B810" s="2"/>
      <c r="C810" s="2"/>
      <c r="D810" s="14"/>
      <c r="E810" s="6"/>
      <c r="F810" s="3"/>
      <c r="G810" s="6"/>
      <c r="H810" s="6"/>
      <c r="I810" s="3"/>
      <c r="J810" s="6"/>
      <c r="K810" s="3"/>
      <c r="L810" s="6"/>
      <c r="M810" s="6"/>
      <c r="N810" s="3"/>
      <c r="O810" s="6"/>
      <c r="P810" s="3"/>
      <c r="Q810" s="6"/>
      <c r="R810" s="6"/>
      <c r="S810" s="3"/>
      <c r="T810" s="6"/>
      <c r="U810" s="3"/>
      <c r="V810" s="6"/>
      <c r="W810" s="6"/>
      <c r="X810" s="3"/>
      <c r="Y810" s="6"/>
      <c r="Z810" s="3"/>
      <c r="AA810" s="6"/>
      <c r="AB810" s="6"/>
      <c r="AC810" s="3"/>
    </row>
    <row r="811" spans="1:29" ht="15.75" customHeight="1" x14ac:dyDescent="0.2">
      <c r="A811" s="2"/>
      <c r="B811" s="2"/>
      <c r="C811" s="2"/>
      <c r="D811" s="14"/>
      <c r="E811" s="6"/>
      <c r="F811" s="3"/>
      <c r="G811" s="6"/>
      <c r="H811" s="6"/>
      <c r="I811" s="3"/>
      <c r="J811" s="6"/>
      <c r="K811" s="3"/>
      <c r="L811" s="6"/>
      <c r="M811" s="6"/>
      <c r="N811" s="3"/>
      <c r="O811" s="6"/>
      <c r="P811" s="3"/>
      <c r="Q811" s="6"/>
      <c r="R811" s="6"/>
      <c r="S811" s="3"/>
      <c r="T811" s="6"/>
      <c r="U811" s="3"/>
      <c r="V811" s="6"/>
      <c r="W811" s="6"/>
      <c r="X811" s="3"/>
      <c r="Y811" s="6"/>
      <c r="Z811" s="3"/>
      <c r="AA811" s="6"/>
      <c r="AB811" s="6"/>
      <c r="AC811" s="3"/>
    </row>
    <row r="812" spans="1:29" ht="15.75" customHeight="1" x14ac:dyDescent="0.2">
      <c r="A812" s="2"/>
      <c r="B812" s="2"/>
      <c r="C812" s="2"/>
      <c r="D812" s="14"/>
      <c r="E812" s="6"/>
      <c r="F812" s="3"/>
      <c r="G812" s="6"/>
      <c r="H812" s="6"/>
      <c r="I812" s="3"/>
      <c r="J812" s="6"/>
      <c r="K812" s="3"/>
      <c r="L812" s="6"/>
      <c r="M812" s="6"/>
      <c r="N812" s="3"/>
      <c r="O812" s="6"/>
      <c r="P812" s="3"/>
      <c r="Q812" s="6"/>
      <c r="R812" s="6"/>
      <c r="S812" s="3"/>
      <c r="T812" s="6"/>
      <c r="U812" s="3"/>
      <c r="V812" s="6"/>
      <c r="W812" s="6"/>
      <c r="X812" s="3"/>
      <c r="Y812" s="6"/>
      <c r="Z812" s="3"/>
      <c r="AA812" s="6"/>
      <c r="AB812" s="6"/>
      <c r="AC812" s="3"/>
    </row>
    <row r="813" spans="1:29" ht="15.75" customHeight="1" x14ac:dyDescent="0.2">
      <c r="A813" s="2"/>
      <c r="B813" s="2"/>
      <c r="C813" s="2"/>
      <c r="D813" s="14"/>
      <c r="E813" s="6"/>
      <c r="F813" s="3"/>
      <c r="G813" s="6"/>
      <c r="H813" s="6"/>
      <c r="I813" s="3"/>
      <c r="J813" s="6"/>
      <c r="K813" s="3"/>
      <c r="L813" s="6"/>
      <c r="M813" s="6"/>
      <c r="N813" s="3"/>
      <c r="O813" s="6"/>
      <c r="P813" s="3"/>
      <c r="Q813" s="6"/>
      <c r="R813" s="6"/>
      <c r="S813" s="3"/>
      <c r="T813" s="6"/>
      <c r="U813" s="3"/>
      <c r="V813" s="6"/>
      <c r="W813" s="6"/>
      <c r="X813" s="3"/>
      <c r="Y813" s="6"/>
      <c r="Z813" s="3"/>
      <c r="AA813" s="6"/>
      <c r="AB813" s="6"/>
      <c r="AC813" s="3"/>
    </row>
    <row r="814" spans="1:29" ht="15.75" customHeight="1" x14ac:dyDescent="0.2">
      <c r="A814" s="2"/>
      <c r="B814" s="2"/>
      <c r="C814" s="2"/>
      <c r="D814" s="14"/>
      <c r="E814" s="6"/>
      <c r="F814" s="3"/>
      <c r="G814" s="6"/>
      <c r="H814" s="6"/>
      <c r="I814" s="3"/>
      <c r="J814" s="6"/>
      <c r="K814" s="3"/>
      <c r="L814" s="6"/>
      <c r="M814" s="6"/>
      <c r="N814" s="3"/>
      <c r="O814" s="6"/>
      <c r="P814" s="3"/>
      <c r="Q814" s="6"/>
      <c r="R814" s="6"/>
      <c r="S814" s="3"/>
      <c r="T814" s="6"/>
      <c r="U814" s="3"/>
      <c r="V814" s="6"/>
      <c r="W814" s="6"/>
      <c r="X814" s="3"/>
      <c r="Y814" s="6"/>
      <c r="Z814" s="3"/>
      <c r="AA814" s="6"/>
      <c r="AB814" s="6"/>
      <c r="AC814" s="3"/>
    </row>
    <row r="815" spans="1:29" ht="15.75" customHeight="1" x14ac:dyDescent="0.2">
      <c r="A815" s="2"/>
      <c r="B815" s="2"/>
      <c r="C815" s="2"/>
      <c r="D815" s="14"/>
      <c r="E815" s="6"/>
      <c r="F815" s="3"/>
      <c r="G815" s="6"/>
      <c r="H815" s="6"/>
      <c r="I815" s="3"/>
      <c r="J815" s="6"/>
      <c r="K815" s="3"/>
      <c r="L815" s="6"/>
      <c r="M815" s="6"/>
      <c r="N815" s="3"/>
      <c r="O815" s="6"/>
      <c r="P815" s="3"/>
      <c r="Q815" s="6"/>
      <c r="R815" s="6"/>
      <c r="S815" s="3"/>
      <c r="T815" s="6"/>
      <c r="U815" s="3"/>
      <c r="V815" s="6"/>
      <c r="W815" s="6"/>
      <c r="X815" s="3"/>
      <c r="Y815" s="6"/>
      <c r="Z815" s="3"/>
      <c r="AA815" s="6"/>
      <c r="AB815" s="6"/>
      <c r="AC815" s="3"/>
    </row>
    <row r="816" spans="1:29" ht="15.75" customHeight="1" x14ac:dyDescent="0.2">
      <c r="A816" s="2"/>
      <c r="B816" s="2"/>
      <c r="C816" s="2"/>
      <c r="D816" s="14"/>
      <c r="E816" s="6"/>
      <c r="F816" s="3"/>
      <c r="G816" s="6"/>
      <c r="H816" s="6"/>
      <c r="I816" s="3"/>
      <c r="J816" s="6"/>
      <c r="K816" s="3"/>
      <c r="L816" s="6"/>
      <c r="M816" s="6"/>
      <c r="N816" s="3"/>
      <c r="O816" s="6"/>
      <c r="P816" s="3"/>
      <c r="Q816" s="6"/>
      <c r="R816" s="6"/>
      <c r="S816" s="3"/>
      <c r="T816" s="6"/>
      <c r="U816" s="3"/>
      <c r="V816" s="6"/>
      <c r="W816" s="6"/>
      <c r="X816" s="3"/>
      <c r="Y816" s="6"/>
      <c r="Z816" s="3"/>
      <c r="AA816" s="6"/>
      <c r="AB816" s="6"/>
      <c r="AC816" s="3"/>
    </row>
    <row r="817" spans="1:29" ht="15.75" customHeight="1" x14ac:dyDescent="0.2">
      <c r="A817" s="2"/>
      <c r="B817" s="2"/>
      <c r="C817" s="2"/>
      <c r="D817" s="14"/>
      <c r="E817" s="6"/>
      <c r="F817" s="3"/>
      <c r="G817" s="6"/>
      <c r="H817" s="6"/>
      <c r="I817" s="3"/>
      <c r="J817" s="6"/>
      <c r="K817" s="3"/>
      <c r="L817" s="6"/>
      <c r="M817" s="6"/>
      <c r="N817" s="3"/>
      <c r="O817" s="6"/>
      <c r="P817" s="3"/>
      <c r="Q817" s="6"/>
      <c r="R817" s="6"/>
      <c r="S817" s="3"/>
      <c r="T817" s="6"/>
      <c r="U817" s="3"/>
      <c r="V817" s="6"/>
      <c r="W817" s="6"/>
      <c r="X817" s="3"/>
      <c r="Y817" s="6"/>
      <c r="Z817" s="3"/>
      <c r="AA817" s="6"/>
      <c r="AB817" s="6"/>
      <c r="AC817" s="3"/>
    </row>
    <row r="818" spans="1:29" ht="15.75" customHeight="1" x14ac:dyDescent="0.2">
      <c r="A818" s="2"/>
      <c r="B818" s="2"/>
      <c r="C818" s="2"/>
      <c r="D818" s="14"/>
      <c r="E818" s="6"/>
      <c r="F818" s="3"/>
      <c r="G818" s="6"/>
      <c r="H818" s="6"/>
      <c r="I818" s="3"/>
      <c r="J818" s="6"/>
      <c r="K818" s="3"/>
      <c r="L818" s="6"/>
      <c r="M818" s="6"/>
      <c r="N818" s="3"/>
      <c r="O818" s="6"/>
      <c r="P818" s="3"/>
      <c r="Q818" s="6"/>
      <c r="R818" s="6"/>
      <c r="S818" s="3"/>
      <c r="T818" s="6"/>
      <c r="U818" s="3"/>
      <c r="V818" s="6"/>
      <c r="W818" s="6"/>
      <c r="X818" s="3"/>
      <c r="Y818" s="6"/>
      <c r="Z818" s="3"/>
      <c r="AA818" s="6"/>
      <c r="AB818" s="6"/>
      <c r="AC818" s="3"/>
    </row>
    <row r="819" spans="1:29" ht="15.75" customHeight="1" x14ac:dyDescent="0.2">
      <c r="A819" s="2"/>
      <c r="B819" s="2"/>
      <c r="C819" s="2"/>
      <c r="D819" s="14"/>
      <c r="E819" s="6"/>
      <c r="F819" s="3"/>
      <c r="G819" s="6"/>
      <c r="H819" s="6"/>
      <c r="I819" s="3"/>
      <c r="J819" s="6"/>
      <c r="K819" s="3"/>
      <c r="L819" s="6"/>
      <c r="M819" s="6"/>
      <c r="N819" s="3"/>
      <c r="O819" s="6"/>
      <c r="P819" s="3"/>
      <c r="Q819" s="6"/>
      <c r="R819" s="6"/>
      <c r="S819" s="3"/>
      <c r="T819" s="6"/>
      <c r="U819" s="3"/>
      <c r="V819" s="6"/>
      <c r="W819" s="6"/>
      <c r="X819" s="3"/>
      <c r="Y819" s="6"/>
      <c r="Z819" s="3"/>
      <c r="AA819" s="6"/>
      <c r="AB819" s="6"/>
      <c r="AC819" s="3"/>
    </row>
    <row r="820" spans="1:29" ht="15.75" customHeight="1" x14ac:dyDescent="0.2">
      <c r="A820" s="2"/>
      <c r="B820" s="2"/>
      <c r="C820" s="2"/>
      <c r="D820" s="14"/>
      <c r="E820" s="6"/>
      <c r="F820" s="3"/>
      <c r="G820" s="6"/>
      <c r="H820" s="6"/>
      <c r="I820" s="3"/>
      <c r="J820" s="6"/>
      <c r="K820" s="3"/>
      <c r="L820" s="6"/>
      <c r="M820" s="6"/>
      <c r="N820" s="3"/>
      <c r="O820" s="6"/>
      <c r="P820" s="3"/>
      <c r="Q820" s="6"/>
      <c r="R820" s="6"/>
      <c r="S820" s="3"/>
      <c r="T820" s="6"/>
      <c r="U820" s="3"/>
      <c r="V820" s="6"/>
      <c r="W820" s="6"/>
      <c r="X820" s="3"/>
      <c r="Y820" s="6"/>
      <c r="Z820" s="3"/>
      <c r="AA820" s="6"/>
      <c r="AB820" s="6"/>
      <c r="AC820" s="3"/>
    </row>
    <row r="821" spans="1:29" ht="15.75" customHeight="1" x14ac:dyDescent="0.2">
      <c r="A821" s="2"/>
      <c r="B821" s="2"/>
      <c r="C821" s="2"/>
      <c r="D821" s="14"/>
      <c r="E821" s="6"/>
      <c r="F821" s="3"/>
      <c r="G821" s="6"/>
      <c r="H821" s="6"/>
      <c r="I821" s="3"/>
      <c r="J821" s="6"/>
      <c r="K821" s="3"/>
      <c r="L821" s="6"/>
      <c r="M821" s="6"/>
      <c r="N821" s="3"/>
      <c r="O821" s="6"/>
      <c r="P821" s="3"/>
      <c r="Q821" s="6"/>
      <c r="R821" s="6"/>
      <c r="S821" s="3"/>
      <c r="T821" s="6"/>
      <c r="U821" s="3"/>
      <c r="V821" s="6"/>
      <c r="W821" s="6"/>
      <c r="X821" s="3"/>
      <c r="Y821" s="6"/>
      <c r="Z821" s="3"/>
      <c r="AA821" s="6"/>
      <c r="AB821" s="6"/>
      <c r="AC821" s="3"/>
    </row>
    <row r="822" spans="1:29" ht="15.75" customHeight="1" x14ac:dyDescent="0.2">
      <c r="A822" s="2"/>
      <c r="B822" s="2"/>
      <c r="C822" s="2"/>
      <c r="D822" s="14"/>
      <c r="E822" s="6"/>
      <c r="F822" s="3"/>
      <c r="G822" s="6"/>
      <c r="H822" s="6"/>
      <c r="I822" s="3"/>
      <c r="J822" s="6"/>
      <c r="K822" s="3"/>
      <c r="L822" s="6"/>
      <c r="M822" s="6"/>
      <c r="N822" s="3"/>
      <c r="O822" s="6"/>
      <c r="P822" s="3"/>
      <c r="Q822" s="6"/>
      <c r="R822" s="6"/>
      <c r="S822" s="3"/>
      <c r="T822" s="6"/>
      <c r="U822" s="3"/>
      <c r="V822" s="6"/>
      <c r="W822" s="6"/>
      <c r="X822" s="3"/>
      <c r="Y822" s="6"/>
      <c r="Z822" s="3"/>
      <c r="AA822" s="6"/>
      <c r="AB822" s="6"/>
      <c r="AC822" s="3"/>
    </row>
    <row r="823" spans="1:29" ht="15.75" customHeight="1" x14ac:dyDescent="0.2">
      <c r="A823" s="2"/>
      <c r="B823" s="2"/>
      <c r="C823" s="2"/>
      <c r="D823" s="14"/>
      <c r="E823" s="6"/>
      <c r="F823" s="3"/>
      <c r="G823" s="6"/>
      <c r="H823" s="6"/>
      <c r="I823" s="3"/>
      <c r="J823" s="6"/>
      <c r="K823" s="3"/>
      <c r="L823" s="6"/>
      <c r="M823" s="6"/>
      <c r="N823" s="3"/>
      <c r="O823" s="6"/>
      <c r="P823" s="3"/>
      <c r="Q823" s="6"/>
      <c r="R823" s="6"/>
      <c r="S823" s="3"/>
      <c r="T823" s="6"/>
      <c r="U823" s="3"/>
      <c r="V823" s="6"/>
      <c r="W823" s="6"/>
      <c r="X823" s="3"/>
      <c r="Y823" s="6"/>
      <c r="Z823" s="3"/>
      <c r="AA823" s="6"/>
      <c r="AB823" s="6"/>
      <c r="AC823" s="3"/>
    </row>
    <row r="824" spans="1:29" ht="15.75" customHeight="1" x14ac:dyDescent="0.2">
      <c r="A824" s="2"/>
      <c r="B824" s="2"/>
      <c r="C824" s="2"/>
      <c r="D824" s="14"/>
      <c r="E824" s="6"/>
      <c r="F824" s="3"/>
      <c r="G824" s="6"/>
      <c r="H824" s="6"/>
      <c r="I824" s="3"/>
      <c r="J824" s="6"/>
      <c r="K824" s="3"/>
      <c r="L824" s="6"/>
      <c r="M824" s="6"/>
      <c r="N824" s="3"/>
      <c r="O824" s="6"/>
      <c r="P824" s="3"/>
      <c r="Q824" s="6"/>
      <c r="R824" s="6"/>
      <c r="S824" s="3"/>
      <c r="T824" s="6"/>
      <c r="U824" s="3"/>
      <c r="V824" s="6"/>
      <c r="W824" s="6"/>
      <c r="X824" s="3"/>
      <c r="Y824" s="6"/>
      <c r="Z824" s="3"/>
      <c r="AA824" s="6"/>
      <c r="AB824" s="6"/>
      <c r="AC824" s="3"/>
    </row>
    <row r="825" spans="1:29" ht="15.75" customHeight="1" x14ac:dyDescent="0.2">
      <c r="A825" s="2"/>
      <c r="B825" s="2"/>
      <c r="C825" s="2"/>
      <c r="D825" s="14"/>
      <c r="E825" s="6"/>
      <c r="F825" s="3"/>
      <c r="G825" s="6"/>
      <c r="H825" s="6"/>
      <c r="I825" s="3"/>
      <c r="J825" s="6"/>
      <c r="K825" s="3"/>
      <c r="L825" s="6"/>
      <c r="M825" s="6"/>
      <c r="N825" s="3"/>
      <c r="O825" s="6"/>
      <c r="P825" s="3"/>
      <c r="Q825" s="6"/>
      <c r="R825" s="6"/>
      <c r="S825" s="3"/>
      <c r="T825" s="6"/>
      <c r="U825" s="3"/>
      <c r="V825" s="6"/>
      <c r="W825" s="6"/>
      <c r="X825" s="3"/>
      <c r="Y825" s="6"/>
      <c r="Z825" s="3"/>
      <c r="AA825" s="6"/>
      <c r="AB825" s="6"/>
      <c r="AC825" s="3"/>
    </row>
    <row r="826" spans="1:29" ht="15.75" customHeight="1" x14ac:dyDescent="0.2">
      <c r="A826" s="2"/>
      <c r="B826" s="2"/>
      <c r="C826" s="2"/>
      <c r="D826" s="14"/>
      <c r="E826" s="6"/>
      <c r="F826" s="3"/>
      <c r="G826" s="6"/>
      <c r="H826" s="6"/>
      <c r="I826" s="3"/>
      <c r="J826" s="6"/>
      <c r="K826" s="3"/>
      <c r="L826" s="6"/>
      <c r="M826" s="6"/>
      <c r="N826" s="3"/>
      <c r="O826" s="6"/>
      <c r="P826" s="3"/>
      <c r="Q826" s="6"/>
      <c r="R826" s="6"/>
      <c r="S826" s="3"/>
      <c r="T826" s="6"/>
      <c r="U826" s="3"/>
      <c r="V826" s="6"/>
      <c r="W826" s="6"/>
      <c r="X826" s="3"/>
      <c r="Y826" s="6"/>
      <c r="Z826" s="3"/>
      <c r="AA826" s="6"/>
      <c r="AB826" s="6"/>
      <c r="AC826" s="3"/>
    </row>
    <row r="827" spans="1:29" ht="15.75" customHeight="1" x14ac:dyDescent="0.2">
      <c r="A827" s="2"/>
      <c r="B827" s="2"/>
      <c r="C827" s="2"/>
      <c r="D827" s="14"/>
      <c r="E827" s="6"/>
      <c r="F827" s="3"/>
      <c r="G827" s="6"/>
      <c r="H827" s="6"/>
      <c r="I827" s="3"/>
      <c r="J827" s="6"/>
      <c r="K827" s="3"/>
      <c r="L827" s="6"/>
      <c r="M827" s="6"/>
      <c r="N827" s="3"/>
      <c r="O827" s="6"/>
      <c r="P827" s="3"/>
      <c r="Q827" s="6"/>
      <c r="R827" s="6"/>
      <c r="S827" s="3"/>
      <c r="T827" s="6"/>
      <c r="U827" s="3"/>
      <c r="V827" s="6"/>
      <c r="W827" s="6"/>
      <c r="X827" s="3"/>
      <c r="Y827" s="6"/>
      <c r="Z827" s="3"/>
      <c r="AA827" s="6"/>
      <c r="AB827" s="6"/>
      <c r="AC827" s="3"/>
    </row>
    <row r="828" spans="1:29" ht="15.75" customHeight="1" x14ac:dyDescent="0.2">
      <c r="A828" s="2"/>
      <c r="B828" s="2"/>
      <c r="C828" s="2"/>
      <c r="D828" s="14"/>
      <c r="E828" s="6"/>
      <c r="F828" s="3"/>
      <c r="G828" s="6"/>
      <c r="H828" s="6"/>
      <c r="I828" s="3"/>
      <c r="J828" s="6"/>
      <c r="K828" s="3"/>
      <c r="L828" s="6"/>
      <c r="M828" s="6"/>
      <c r="N828" s="3"/>
      <c r="O828" s="6"/>
      <c r="P828" s="3"/>
      <c r="Q828" s="6"/>
      <c r="R828" s="6"/>
      <c r="S828" s="3"/>
      <c r="T828" s="6"/>
      <c r="U828" s="3"/>
      <c r="V828" s="6"/>
      <c r="W828" s="6"/>
      <c r="X828" s="3"/>
      <c r="Y828" s="6"/>
      <c r="Z828" s="3"/>
      <c r="AA828" s="6"/>
      <c r="AB828" s="6"/>
      <c r="AC828" s="3"/>
    </row>
    <row r="829" spans="1:29" ht="15.75" customHeight="1" x14ac:dyDescent="0.2">
      <c r="A829" s="2"/>
      <c r="B829" s="2"/>
      <c r="C829" s="2"/>
      <c r="D829" s="14"/>
      <c r="E829" s="6"/>
      <c r="F829" s="3"/>
      <c r="G829" s="6"/>
      <c r="H829" s="6"/>
      <c r="I829" s="3"/>
      <c r="J829" s="6"/>
      <c r="K829" s="3"/>
      <c r="L829" s="6"/>
      <c r="M829" s="6"/>
      <c r="N829" s="3"/>
      <c r="O829" s="6"/>
      <c r="P829" s="3"/>
      <c r="Q829" s="6"/>
      <c r="R829" s="6"/>
      <c r="S829" s="3"/>
      <c r="T829" s="6"/>
      <c r="U829" s="3"/>
      <c r="V829" s="6"/>
      <c r="W829" s="6"/>
      <c r="X829" s="3"/>
      <c r="Y829" s="6"/>
      <c r="Z829" s="3"/>
      <c r="AA829" s="6"/>
      <c r="AB829" s="6"/>
      <c r="AC829" s="3"/>
    </row>
    <row r="830" spans="1:29" ht="15.75" customHeight="1" x14ac:dyDescent="0.2">
      <c r="A830" s="2"/>
      <c r="B830" s="2"/>
      <c r="C830" s="2"/>
      <c r="D830" s="14"/>
      <c r="E830" s="6"/>
      <c r="F830" s="3"/>
      <c r="G830" s="6"/>
      <c r="H830" s="6"/>
      <c r="I830" s="3"/>
      <c r="J830" s="6"/>
      <c r="K830" s="3"/>
      <c r="L830" s="6"/>
      <c r="M830" s="6"/>
      <c r="N830" s="3"/>
      <c r="O830" s="6"/>
      <c r="P830" s="3"/>
      <c r="Q830" s="6"/>
      <c r="R830" s="6"/>
      <c r="S830" s="3"/>
      <c r="T830" s="6"/>
      <c r="U830" s="3"/>
      <c r="V830" s="6"/>
      <c r="W830" s="6"/>
      <c r="X830" s="3"/>
      <c r="Y830" s="6"/>
      <c r="Z830" s="3"/>
      <c r="AA830" s="6"/>
      <c r="AB830" s="6"/>
      <c r="AC830" s="3"/>
    </row>
    <row r="831" spans="1:29" ht="15.75" customHeight="1" x14ac:dyDescent="0.2">
      <c r="A831" s="2"/>
      <c r="B831" s="2"/>
      <c r="C831" s="2"/>
      <c r="D831" s="14"/>
      <c r="E831" s="6"/>
      <c r="F831" s="3"/>
      <c r="G831" s="6"/>
      <c r="H831" s="6"/>
      <c r="I831" s="3"/>
      <c r="J831" s="6"/>
      <c r="K831" s="3"/>
      <c r="L831" s="6"/>
      <c r="M831" s="6"/>
      <c r="N831" s="3"/>
      <c r="O831" s="6"/>
      <c r="P831" s="3"/>
      <c r="Q831" s="6"/>
      <c r="R831" s="6"/>
      <c r="S831" s="3"/>
      <c r="T831" s="6"/>
      <c r="U831" s="3"/>
      <c r="V831" s="6"/>
      <c r="W831" s="6"/>
      <c r="X831" s="3"/>
      <c r="Y831" s="6"/>
      <c r="Z831" s="3"/>
      <c r="AA831" s="6"/>
      <c r="AB831" s="6"/>
      <c r="AC831" s="3"/>
    </row>
    <row r="832" spans="1:29" ht="15.75" customHeight="1" x14ac:dyDescent="0.2">
      <c r="A832" s="2"/>
      <c r="B832" s="2"/>
      <c r="C832" s="2"/>
      <c r="D832" s="14"/>
      <c r="E832" s="6"/>
      <c r="F832" s="3"/>
      <c r="G832" s="6"/>
      <c r="H832" s="6"/>
      <c r="I832" s="3"/>
      <c r="J832" s="6"/>
      <c r="K832" s="3"/>
      <c r="L832" s="6"/>
      <c r="M832" s="6"/>
      <c r="N832" s="3"/>
      <c r="O832" s="6"/>
      <c r="P832" s="3"/>
      <c r="Q832" s="6"/>
      <c r="R832" s="6"/>
      <c r="S832" s="3"/>
      <c r="T832" s="6"/>
      <c r="U832" s="3"/>
      <c r="V832" s="6"/>
      <c r="W832" s="6"/>
      <c r="X832" s="3"/>
      <c r="Y832" s="6"/>
      <c r="Z832" s="3"/>
      <c r="AA832" s="6"/>
      <c r="AB832" s="6"/>
      <c r="AC832" s="3"/>
    </row>
    <row r="833" spans="1:29" ht="15.75" customHeight="1" x14ac:dyDescent="0.2">
      <c r="A833" s="2"/>
      <c r="B833" s="2"/>
      <c r="C833" s="2"/>
      <c r="D833" s="14"/>
      <c r="E833" s="6"/>
      <c r="F833" s="3"/>
      <c r="G833" s="6"/>
      <c r="H833" s="6"/>
      <c r="I833" s="3"/>
      <c r="J833" s="6"/>
      <c r="K833" s="3"/>
      <c r="L833" s="6"/>
      <c r="M833" s="6"/>
      <c r="N833" s="3"/>
      <c r="O833" s="6"/>
      <c r="P833" s="3"/>
      <c r="Q833" s="6"/>
      <c r="R833" s="6"/>
      <c r="S833" s="3"/>
      <c r="T833" s="6"/>
      <c r="U833" s="3"/>
      <c r="V833" s="6"/>
      <c r="W833" s="6"/>
      <c r="X833" s="3"/>
      <c r="Y833" s="6"/>
      <c r="Z833" s="3"/>
      <c r="AA833" s="6"/>
      <c r="AB833" s="6"/>
      <c r="AC833" s="3"/>
    </row>
    <row r="834" spans="1:29" ht="15.75" customHeight="1" x14ac:dyDescent="0.2">
      <c r="A834" s="2"/>
      <c r="B834" s="2"/>
      <c r="C834" s="2"/>
      <c r="D834" s="14"/>
      <c r="E834" s="6"/>
      <c r="F834" s="3"/>
      <c r="G834" s="6"/>
      <c r="H834" s="6"/>
      <c r="I834" s="3"/>
      <c r="J834" s="6"/>
      <c r="K834" s="3"/>
      <c r="L834" s="6"/>
      <c r="M834" s="6"/>
      <c r="N834" s="3"/>
      <c r="O834" s="6"/>
      <c r="P834" s="3"/>
      <c r="Q834" s="6"/>
      <c r="R834" s="6"/>
      <c r="S834" s="3"/>
      <c r="T834" s="6"/>
      <c r="U834" s="3"/>
      <c r="V834" s="6"/>
      <c r="W834" s="6"/>
      <c r="X834" s="3"/>
      <c r="Y834" s="6"/>
      <c r="Z834" s="3"/>
      <c r="AA834" s="6"/>
      <c r="AB834" s="6"/>
      <c r="AC834" s="3"/>
    </row>
    <row r="835" spans="1:29" ht="15.75" customHeight="1" x14ac:dyDescent="0.2">
      <c r="A835" s="2"/>
      <c r="B835" s="2"/>
      <c r="C835" s="2"/>
      <c r="D835" s="14"/>
      <c r="E835" s="6"/>
      <c r="F835" s="3"/>
      <c r="G835" s="6"/>
      <c r="H835" s="6"/>
      <c r="I835" s="3"/>
      <c r="J835" s="6"/>
      <c r="K835" s="3"/>
      <c r="L835" s="6"/>
      <c r="M835" s="6"/>
      <c r="N835" s="3"/>
      <c r="O835" s="6"/>
      <c r="P835" s="3"/>
      <c r="Q835" s="6"/>
      <c r="R835" s="6"/>
      <c r="S835" s="3"/>
      <c r="T835" s="6"/>
      <c r="U835" s="3"/>
      <c r="V835" s="6"/>
      <c r="W835" s="6"/>
      <c r="X835" s="3"/>
      <c r="Y835" s="6"/>
      <c r="Z835" s="3"/>
      <c r="AA835" s="6"/>
      <c r="AB835" s="6"/>
      <c r="AC835" s="3"/>
    </row>
    <row r="836" spans="1:29" ht="15.75" customHeight="1" x14ac:dyDescent="0.2">
      <c r="A836" s="2"/>
      <c r="B836" s="2"/>
      <c r="C836" s="2"/>
      <c r="D836" s="14"/>
      <c r="E836" s="6"/>
      <c r="F836" s="3"/>
      <c r="G836" s="6"/>
      <c r="H836" s="6"/>
      <c r="I836" s="3"/>
      <c r="J836" s="6"/>
      <c r="K836" s="3"/>
      <c r="L836" s="6"/>
      <c r="M836" s="6"/>
      <c r="N836" s="3"/>
      <c r="O836" s="6"/>
      <c r="P836" s="3"/>
      <c r="Q836" s="6"/>
      <c r="R836" s="6"/>
      <c r="S836" s="3"/>
      <c r="T836" s="6"/>
      <c r="U836" s="3"/>
      <c r="V836" s="6"/>
      <c r="W836" s="6"/>
      <c r="X836" s="3"/>
      <c r="Y836" s="6"/>
      <c r="Z836" s="3"/>
      <c r="AA836" s="6"/>
      <c r="AB836" s="6"/>
      <c r="AC836" s="3"/>
    </row>
    <row r="837" spans="1:29" ht="15.75" customHeight="1" x14ac:dyDescent="0.2">
      <c r="A837" s="2"/>
      <c r="B837" s="2"/>
      <c r="C837" s="2"/>
      <c r="D837" s="14"/>
      <c r="E837" s="6"/>
      <c r="F837" s="3"/>
      <c r="G837" s="6"/>
      <c r="H837" s="6"/>
      <c r="I837" s="3"/>
      <c r="J837" s="6"/>
      <c r="K837" s="3"/>
      <c r="L837" s="6"/>
      <c r="M837" s="6"/>
      <c r="N837" s="3"/>
      <c r="O837" s="6"/>
      <c r="P837" s="3"/>
      <c r="Q837" s="6"/>
      <c r="R837" s="6"/>
      <c r="S837" s="3"/>
      <c r="T837" s="6"/>
      <c r="U837" s="3"/>
      <c r="V837" s="6"/>
      <c r="W837" s="6"/>
      <c r="X837" s="3"/>
      <c r="Y837" s="6"/>
      <c r="Z837" s="3"/>
      <c r="AA837" s="6"/>
      <c r="AB837" s="6"/>
      <c r="AC837" s="3"/>
    </row>
    <row r="838" spans="1:29" ht="15.75" customHeight="1" x14ac:dyDescent="0.2">
      <c r="A838" s="2"/>
      <c r="B838" s="2"/>
      <c r="C838" s="2"/>
      <c r="D838" s="14"/>
      <c r="E838" s="6"/>
      <c r="F838" s="3"/>
      <c r="G838" s="6"/>
      <c r="H838" s="6"/>
      <c r="I838" s="3"/>
      <c r="J838" s="6"/>
      <c r="K838" s="3"/>
      <c r="L838" s="6"/>
      <c r="M838" s="6"/>
      <c r="N838" s="3"/>
      <c r="O838" s="6"/>
      <c r="P838" s="3"/>
      <c r="Q838" s="6"/>
      <c r="R838" s="6"/>
      <c r="S838" s="3"/>
      <c r="T838" s="6"/>
      <c r="U838" s="3"/>
      <c r="V838" s="6"/>
      <c r="W838" s="6"/>
      <c r="X838" s="3"/>
      <c r="Y838" s="6"/>
      <c r="Z838" s="3"/>
      <c r="AA838" s="6"/>
      <c r="AB838" s="6"/>
      <c r="AC838" s="3"/>
    </row>
    <row r="839" spans="1:29" ht="15.75" customHeight="1" x14ac:dyDescent="0.2">
      <c r="A839" s="2"/>
      <c r="B839" s="2"/>
      <c r="C839" s="2"/>
      <c r="D839" s="14"/>
      <c r="E839" s="6"/>
      <c r="F839" s="3"/>
      <c r="G839" s="6"/>
      <c r="H839" s="6"/>
      <c r="I839" s="3"/>
      <c r="J839" s="6"/>
      <c r="K839" s="3"/>
      <c r="L839" s="6"/>
      <c r="M839" s="6"/>
      <c r="N839" s="3"/>
      <c r="O839" s="6"/>
      <c r="P839" s="3"/>
      <c r="Q839" s="6"/>
      <c r="R839" s="6"/>
      <c r="S839" s="3"/>
      <c r="T839" s="6"/>
      <c r="U839" s="3"/>
      <c r="V839" s="6"/>
      <c r="W839" s="6"/>
      <c r="X839" s="3"/>
      <c r="Y839" s="6"/>
      <c r="Z839" s="3"/>
      <c r="AA839" s="6"/>
      <c r="AB839" s="6"/>
      <c r="AC839" s="3"/>
    </row>
    <row r="840" spans="1:29" ht="15.75" customHeight="1" x14ac:dyDescent="0.2">
      <c r="A840" s="2"/>
      <c r="B840" s="2"/>
      <c r="C840" s="2"/>
      <c r="D840" s="14"/>
      <c r="E840" s="6"/>
      <c r="F840" s="3"/>
      <c r="G840" s="6"/>
      <c r="H840" s="6"/>
      <c r="I840" s="3"/>
      <c r="J840" s="6"/>
      <c r="K840" s="3"/>
      <c r="L840" s="6"/>
      <c r="M840" s="6"/>
      <c r="N840" s="3"/>
      <c r="O840" s="6"/>
      <c r="P840" s="3"/>
      <c r="Q840" s="6"/>
      <c r="R840" s="6"/>
      <c r="S840" s="3"/>
      <c r="T840" s="6"/>
      <c r="U840" s="3"/>
      <c r="V840" s="6"/>
      <c r="W840" s="6"/>
      <c r="X840" s="3"/>
      <c r="Y840" s="6"/>
      <c r="Z840" s="3"/>
      <c r="AA840" s="6"/>
      <c r="AB840" s="6"/>
      <c r="AC840" s="3"/>
    </row>
    <row r="841" spans="1:29" ht="15.75" customHeight="1" x14ac:dyDescent="0.2">
      <c r="A841" s="2"/>
      <c r="B841" s="2"/>
      <c r="C841" s="2"/>
      <c r="D841" s="14"/>
      <c r="E841" s="6"/>
      <c r="F841" s="3"/>
      <c r="G841" s="6"/>
      <c r="H841" s="6"/>
      <c r="I841" s="3"/>
      <c r="J841" s="6"/>
      <c r="K841" s="3"/>
      <c r="L841" s="6"/>
      <c r="M841" s="6"/>
      <c r="N841" s="3"/>
      <c r="O841" s="6"/>
      <c r="P841" s="3"/>
      <c r="Q841" s="6"/>
      <c r="R841" s="6"/>
      <c r="S841" s="3"/>
      <c r="T841" s="6"/>
      <c r="U841" s="3"/>
      <c r="V841" s="6"/>
      <c r="W841" s="6"/>
      <c r="X841" s="3"/>
      <c r="Y841" s="6"/>
      <c r="Z841" s="3"/>
      <c r="AA841" s="6"/>
      <c r="AB841" s="6"/>
      <c r="AC841" s="3"/>
    </row>
    <row r="842" spans="1:29" ht="15.75" customHeight="1" x14ac:dyDescent="0.2">
      <c r="A842" s="2"/>
      <c r="B842" s="2"/>
      <c r="C842" s="2"/>
      <c r="D842" s="14"/>
      <c r="E842" s="6"/>
      <c r="F842" s="3"/>
      <c r="G842" s="6"/>
      <c r="H842" s="6"/>
      <c r="I842" s="3"/>
      <c r="J842" s="6"/>
      <c r="K842" s="3"/>
      <c r="L842" s="6"/>
      <c r="M842" s="6"/>
      <c r="N842" s="3"/>
      <c r="O842" s="6"/>
      <c r="P842" s="3"/>
      <c r="Q842" s="6"/>
      <c r="R842" s="6"/>
      <c r="S842" s="3"/>
      <c r="T842" s="6"/>
      <c r="U842" s="3"/>
      <c r="V842" s="6"/>
      <c r="W842" s="6"/>
      <c r="X842" s="3"/>
      <c r="Y842" s="6"/>
      <c r="Z842" s="3"/>
      <c r="AA842" s="6"/>
      <c r="AB842" s="6"/>
      <c r="AC842" s="3"/>
    </row>
    <row r="843" spans="1:29" ht="15.75" customHeight="1" x14ac:dyDescent="0.2">
      <c r="A843" s="2"/>
      <c r="B843" s="2"/>
      <c r="C843" s="2"/>
      <c r="D843" s="14"/>
      <c r="E843" s="6"/>
      <c r="F843" s="3"/>
      <c r="G843" s="6"/>
      <c r="H843" s="6"/>
      <c r="I843" s="3"/>
      <c r="J843" s="6"/>
      <c r="K843" s="3"/>
      <c r="L843" s="6"/>
      <c r="M843" s="6"/>
      <c r="N843" s="3"/>
      <c r="O843" s="6"/>
      <c r="P843" s="3"/>
      <c r="Q843" s="6"/>
      <c r="R843" s="6"/>
      <c r="S843" s="3"/>
      <c r="T843" s="6"/>
      <c r="U843" s="3"/>
      <c r="V843" s="6"/>
      <c r="W843" s="6"/>
      <c r="X843" s="3"/>
      <c r="Y843" s="6"/>
      <c r="Z843" s="3"/>
      <c r="AA843" s="6"/>
      <c r="AB843" s="6"/>
      <c r="AC843" s="3"/>
    </row>
    <row r="844" spans="1:29" ht="15.75" customHeight="1" x14ac:dyDescent="0.2">
      <c r="A844" s="2"/>
      <c r="B844" s="2"/>
      <c r="C844" s="2"/>
      <c r="D844" s="14"/>
      <c r="E844" s="6"/>
      <c r="F844" s="3"/>
      <c r="G844" s="6"/>
      <c r="H844" s="6"/>
      <c r="I844" s="3"/>
      <c r="J844" s="6"/>
      <c r="K844" s="3"/>
      <c r="L844" s="6"/>
      <c r="M844" s="6"/>
      <c r="N844" s="3"/>
      <c r="O844" s="6"/>
      <c r="P844" s="3"/>
      <c r="Q844" s="6"/>
      <c r="R844" s="6"/>
      <c r="S844" s="3"/>
      <c r="T844" s="6"/>
      <c r="U844" s="3"/>
      <c r="V844" s="6"/>
      <c r="W844" s="6"/>
      <c r="X844" s="3"/>
      <c r="Y844" s="6"/>
      <c r="Z844" s="3"/>
      <c r="AA844" s="6"/>
      <c r="AB844" s="6"/>
      <c r="AC844" s="3"/>
    </row>
    <row r="845" spans="1:29" ht="15.75" customHeight="1" x14ac:dyDescent="0.2">
      <c r="A845" s="2"/>
      <c r="B845" s="2"/>
      <c r="C845" s="2"/>
      <c r="D845" s="14"/>
      <c r="E845" s="6"/>
      <c r="F845" s="3"/>
      <c r="G845" s="6"/>
      <c r="H845" s="6"/>
      <c r="I845" s="3"/>
      <c r="J845" s="6"/>
      <c r="K845" s="3"/>
      <c r="L845" s="6"/>
      <c r="M845" s="6"/>
      <c r="N845" s="3"/>
      <c r="O845" s="6"/>
      <c r="P845" s="3"/>
      <c r="Q845" s="6"/>
      <c r="R845" s="6"/>
      <c r="S845" s="3"/>
      <c r="T845" s="6"/>
      <c r="U845" s="3"/>
      <c r="V845" s="6"/>
      <c r="W845" s="6"/>
      <c r="X845" s="3"/>
      <c r="Y845" s="6"/>
      <c r="Z845" s="3"/>
      <c r="AA845" s="6"/>
      <c r="AB845" s="6"/>
      <c r="AC845" s="3"/>
    </row>
    <row r="846" spans="1:29" ht="15.75" customHeight="1" x14ac:dyDescent="0.2">
      <c r="A846" s="2"/>
      <c r="B846" s="2"/>
      <c r="C846" s="2"/>
      <c r="D846" s="14"/>
      <c r="E846" s="6"/>
      <c r="F846" s="3"/>
      <c r="G846" s="6"/>
      <c r="H846" s="6"/>
      <c r="I846" s="3"/>
      <c r="J846" s="6"/>
      <c r="K846" s="3"/>
      <c r="L846" s="6"/>
      <c r="M846" s="6"/>
      <c r="N846" s="3"/>
      <c r="O846" s="6"/>
      <c r="P846" s="3"/>
      <c r="Q846" s="6"/>
      <c r="R846" s="6"/>
      <c r="S846" s="3"/>
      <c r="T846" s="6"/>
      <c r="U846" s="3"/>
      <c r="V846" s="6"/>
      <c r="W846" s="6"/>
      <c r="X846" s="3"/>
      <c r="Y846" s="6"/>
      <c r="Z846" s="3"/>
      <c r="AA846" s="6"/>
      <c r="AB846" s="6"/>
      <c r="AC846" s="3"/>
    </row>
    <row r="847" spans="1:29" ht="15.75" customHeight="1" x14ac:dyDescent="0.2">
      <c r="A847" s="2"/>
      <c r="B847" s="2"/>
      <c r="C847" s="2"/>
      <c r="D847" s="14"/>
      <c r="E847" s="6"/>
      <c r="F847" s="3"/>
      <c r="G847" s="6"/>
      <c r="H847" s="6"/>
      <c r="I847" s="3"/>
      <c r="J847" s="6"/>
      <c r="K847" s="3"/>
      <c r="L847" s="6"/>
      <c r="M847" s="6"/>
      <c r="N847" s="3"/>
      <c r="O847" s="6"/>
      <c r="P847" s="3"/>
      <c r="Q847" s="6"/>
      <c r="R847" s="6"/>
      <c r="S847" s="3"/>
      <c r="T847" s="6"/>
      <c r="U847" s="3"/>
      <c r="V847" s="6"/>
      <c r="W847" s="6"/>
      <c r="X847" s="3"/>
      <c r="Y847" s="6"/>
      <c r="Z847" s="3"/>
      <c r="AA847" s="6"/>
      <c r="AB847" s="6"/>
      <c r="AC847" s="3"/>
    </row>
    <row r="848" spans="1:29" ht="15.75" customHeight="1" x14ac:dyDescent="0.2">
      <c r="A848" s="2"/>
      <c r="B848" s="2"/>
      <c r="C848" s="2"/>
      <c r="D848" s="14"/>
      <c r="E848" s="6"/>
      <c r="F848" s="3"/>
      <c r="G848" s="6"/>
      <c r="H848" s="6"/>
      <c r="I848" s="3"/>
      <c r="J848" s="6"/>
      <c r="K848" s="3"/>
      <c r="L848" s="6"/>
      <c r="M848" s="6"/>
      <c r="N848" s="3"/>
      <c r="O848" s="6"/>
      <c r="P848" s="3"/>
      <c r="Q848" s="6"/>
      <c r="R848" s="6"/>
      <c r="S848" s="3"/>
      <c r="T848" s="6"/>
      <c r="U848" s="3"/>
      <c r="V848" s="6"/>
      <c r="W848" s="6"/>
      <c r="X848" s="3"/>
      <c r="Y848" s="6"/>
      <c r="Z848" s="3"/>
      <c r="AA848" s="6"/>
      <c r="AB848" s="6"/>
      <c r="AC848" s="3"/>
    </row>
    <row r="849" spans="1:29" ht="15.75" customHeight="1" x14ac:dyDescent="0.2">
      <c r="A849" s="2"/>
      <c r="B849" s="2"/>
      <c r="C849" s="2"/>
      <c r="D849" s="14"/>
      <c r="E849" s="6"/>
      <c r="F849" s="3"/>
      <c r="G849" s="6"/>
      <c r="H849" s="6"/>
      <c r="I849" s="3"/>
      <c r="J849" s="6"/>
      <c r="K849" s="3"/>
      <c r="L849" s="6"/>
      <c r="M849" s="6"/>
      <c r="N849" s="3"/>
      <c r="O849" s="6"/>
      <c r="P849" s="3"/>
      <c r="Q849" s="6"/>
      <c r="R849" s="6"/>
      <c r="S849" s="3"/>
      <c r="T849" s="6"/>
      <c r="U849" s="3"/>
      <c r="V849" s="6"/>
      <c r="W849" s="6"/>
      <c r="X849" s="3"/>
      <c r="Y849" s="6"/>
      <c r="Z849" s="3"/>
      <c r="AA849" s="6"/>
      <c r="AB849" s="6"/>
      <c r="AC849" s="3"/>
    </row>
    <row r="850" spans="1:29" ht="15.75" customHeight="1" x14ac:dyDescent="0.2">
      <c r="A850" s="2"/>
      <c r="B850" s="2"/>
      <c r="C850" s="2"/>
      <c r="D850" s="14"/>
      <c r="E850" s="6"/>
      <c r="F850" s="3"/>
      <c r="G850" s="6"/>
      <c r="H850" s="6"/>
      <c r="I850" s="3"/>
      <c r="J850" s="6"/>
      <c r="K850" s="3"/>
      <c r="L850" s="6"/>
      <c r="M850" s="6"/>
      <c r="N850" s="3"/>
      <c r="O850" s="6"/>
      <c r="P850" s="3"/>
      <c r="Q850" s="6"/>
      <c r="R850" s="6"/>
      <c r="S850" s="3"/>
      <c r="T850" s="6"/>
      <c r="U850" s="3"/>
      <c r="V850" s="6"/>
      <c r="W850" s="6"/>
      <c r="X850" s="3"/>
      <c r="Y850" s="6"/>
      <c r="Z850" s="3"/>
      <c r="AA850" s="6"/>
      <c r="AB850" s="6"/>
      <c r="AC850" s="3"/>
    </row>
    <row r="851" spans="1:29" ht="15.75" customHeight="1" x14ac:dyDescent="0.2">
      <c r="A851" s="2"/>
      <c r="B851" s="2"/>
      <c r="C851" s="2"/>
      <c r="D851" s="14"/>
      <c r="E851" s="6"/>
      <c r="F851" s="3"/>
      <c r="G851" s="6"/>
      <c r="H851" s="6"/>
      <c r="I851" s="3"/>
      <c r="J851" s="6"/>
      <c r="K851" s="3"/>
      <c r="L851" s="6"/>
      <c r="M851" s="6"/>
      <c r="N851" s="3"/>
      <c r="O851" s="6"/>
      <c r="P851" s="3"/>
      <c r="Q851" s="6"/>
      <c r="R851" s="6"/>
      <c r="S851" s="3"/>
      <c r="T851" s="6"/>
      <c r="U851" s="3"/>
      <c r="V851" s="6"/>
      <c r="W851" s="6"/>
      <c r="X851" s="3"/>
      <c r="Y851" s="6"/>
      <c r="Z851" s="3"/>
      <c r="AA851" s="6"/>
      <c r="AB851" s="6"/>
      <c r="AC851" s="3"/>
    </row>
    <row r="852" spans="1:29" ht="15.75" customHeight="1" x14ac:dyDescent="0.2">
      <c r="A852" s="2"/>
      <c r="B852" s="2"/>
      <c r="C852" s="2"/>
      <c r="D852" s="14"/>
      <c r="E852" s="6"/>
      <c r="F852" s="3"/>
      <c r="G852" s="6"/>
      <c r="H852" s="6"/>
      <c r="I852" s="3"/>
      <c r="J852" s="6"/>
      <c r="K852" s="3"/>
      <c r="L852" s="6"/>
      <c r="M852" s="6"/>
      <c r="N852" s="3"/>
      <c r="O852" s="6"/>
      <c r="P852" s="3"/>
      <c r="Q852" s="6"/>
      <c r="R852" s="6"/>
      <c r="S852" s="3"/>
      <c r="T852" s="6"/>
      <c r="U852" s="3"/>
      <c r="V852" s="6"/>
      <c r="W852" s="6"/>
      <c r="X852" s="3"/>
      <c r="Y852" s="6"/>
      <c r="Z852" s="3"/>
      <c r="AA852" s="6"/>
      <c r="AB852" s="6"/>
      <c r="AC852" s="3"/>
    </row>
    <row r="853" spans="1:29" ht="15.75" customHeight="1" x14ac:dyDescent="0.2">
      <c r="A853" s="2"/>
      <c r="B853" s="2"/>
      <c r="C853" s="2"/>
      <c r="D853" s="14"/>
      <c r="E853" s="6"/>
      <c r="F853" s="3"/>
      <c r="G853" s="6"/>
      <c r="H853" s="6"/>
      <c r="I853" s="3"/>
      <c r="J853" s="6"/>
      <c r="K853" s="3"/>
      <c r="L853" s="6"/>
      <c r="M853" s="6"/>
      <c r="N853" s="3"/>
      <c r="O853" s="6"/>
      <c r="P853" s="3"/>
      <c r="Q853" s="6"/>
      <c r="R853" s="6"/>
      <c r="S853" s="3"/>
      <c r="T853" s="6"/>
      <c r="U853" s="3"/>
      <c r="V853" s="6"/>
      <c r="W853" s="6"/>
      <c r="X853" s="3"/>
      <c r="Y853" s="6"/>
      <c r="Z853" s="3"/>
      <c r="AA853" s="6"/>
      <c r="AB853" s="6"/>
      <c r="AC853" s="3"/>
    </row>
    <row r="854" spans="1:29" ht="15.75" customHeight="1" x14ac:dyDescent="0.2">
      <c r="A854" s="2"/>
      <c r="B854" s="2"/>
      <c r="C854" s="2"/>
      <c r="D854" s="14"/>
      <c r="E854" s="6"/>
      <c r="F854" s="3"/>
      <c r="G854" s="6"/>
      <c r="H854" s="6"/>
      <c r="I854" s="3"/>
      <c r="J854" s="6"/>
      <c r="K854" s="3"/>
      <c r="L854" s="6"/>
      <c r="M854" s="6"/>
      <c r="N854" s="3"/>
      <c r="O854" s="6"/>
      <c r="P854" s="3"/>
      <c r="Q854" s="6"/>
      <c r="R854" s="6"/>
      <c r="S854" s="3"/>
      <c r="T854" s="6"/>
      <c r="U854" s="3"/>
      <c r="V854" s="6"/>
      <c r="W854" s="6"/>
      <c r="X854" s="3"/>
      <c r="Y854" s="6"/>
      <c r="Z854" s="3"/>
      <c r="AA854" s="6"/>
      <c r="AB854" s="6"/>
      <c r="AC854" s="3"/>
    </row>
    <row r="855" spans="1:29" ht="15.75" customHeight="1" x14ac:dyDescent="0.2">
      <c r="A855" s="2"/>
      <c r="B855" s="2"/>
      <c r="C855" s="2"/>
      <c r="D855" s="14"/>
      <c r="E855" s="6"/>
      <c r="F855" s="3"/>
      <c r="G855" s="6"/>
      <c r="H855" s="6"/>
      <c r="I855" s="3"/>
      <c r="J855" s="6"/>
      <c r="K855" s="3"/>
      <c r="L855" s="6"/>
      <c r="M855" s="6"/>
      <c r="N855" s="3"/>
      <c r="O855" s="6"/>
      <c r="P855" s="3"/>
      <c r="Q855" s="6"/>
      <c r="R855" s="6"/>
      <c r="S855" s="3"/>
      <c r="T855" s="6"/>
      <c r="U855" s="3"/>
      <c r="V855" s="6"/>
      <c r="W855" s="6"/>
      <c r="X855" s="3"/>
      <c r="Y855" s="6"/>
      <c r="Z855" s="3"/>
      <c r="AA855" s="6"/>
      <c r="AB855" s="6"/>
      <c r="AC855" s="3"/>
    </row>
    <row r="856" spans="1:29" ht="15.75" customHeight="1" x14ac:dyDescent="0.2">
      <c r="A856" s="2"/>
      <c r="B856" s="2"/>
      <c r="C856" s="2"/>
      <c r="D856" s="14"/>
      <c r="E856" s="6"/>
      <c r="F856" s="3"/>
      <c r="G856" s="6"/>
      <c r="H856" s="6"/>
      <c r="I856" s="3"/>
      <c r="J856" s="6"/>
      <c r="K856" s="3"/>
      <c r="L856" s="6"/>
      <c r="M856" s="6"/>
      <c r="N856" s="3"/>
      <c r="O856" s="6"/>
      <c r="P856" s="3"/>
      <c r="Q856" s="6"/>
      <c r="R856" s="6"/>
      <c r="S856" s="3"/>
      <c r="T856" s="6"/>
      <c r="U856" s="3"/>
      <c r="V856" s="6"/>
      <c r="W856" s="6"/>
      <c r="X856" s="3"/>
      <c r="Y856" s="6"/>
      <c r="Z856" s="3"/>
      <c r="AA856" s="6"/>
      <c r="AB856" s="6"/>
      <c r="AC856" s="3"/>
    </row>
    <row r="857" spans="1:29" ht="15.75" customHeight="1" x14ac:dyDescent="0.2">
      <c r="A857" s="2"/>
      <c r="B857" s="2"/>
      <c r="C857" s="2"/>
      <c r="D857" s="14"/>
      <c r="E857" s="6"/>
      <c r="F857" s="3"/>
      <c r="G857" s="6"/>
      <c r="H857" s="6"/>
      <c r="I857" s="3"/>
      <c r="J857" s="6"/>
      <c r="K857" s="3"/>
      <c r="L857" s="6"/>
      <c r="M857" s="6"/>
      <c r="N857" s="3"/>
      <c r="O857" s="6"/>
      <c r="P857" s="3"/>
      <c r="Q857" s="6"/>
      <c r="R857" s="6"/>
      <c r="S857" s="3"/>
      <c r="T857" s="6"/>
      <c r="U857" s="3"/>
      <c r="V857" s="6"/>
      <c r="W857" s="6"/>
      <c r="X857" s="3"/>
      <c r="Y857" s="6"/>
      <c r="Z857" s="3"/>
      <c r="AA857" s="6"/>
      <c r="AB857" s="6"/>
      <c r="AC857" s="3"/>
    </row>
    <row r="858" spans="1:29" ht="15.75" customHeight="1" x14ac:dyDescent="0.2">
      <c r="A858" s="2"/>
      <c r="B858" s="2"/>
      <c r="C858" s="2"/>
      <c r="D858" s="14"/>
      <c r="E858" s="6"/>
      <c r="F858" s="3"/>
      <c r="G858" s="6"/>
      <c r="H858" s="6"/>
      <c r="I858" s="3"/>
      <c r="J858" s="6"/>
      <c r="K858" s="3"/>
      <c r="L858" s="6"/>
      <c r="M858" s="6"/>
      <c r="N858" s="3"/>
      <c r="O858" s="6"/>
      <c r="P858" s="3"/>
      <c r="Q858" s="6"/>
      <c r="R858" s="6"/>
      <c r="S858" s="3"/>
      <c r="T858" s="6"/>
      <c r="U858" s="3"/>
      <c r="V858" s="6"/>
      <c r="W858" s="6"/>
      <c r="X858" s="3"/>
      <c r="Y858" s="6"/>
      <c r="Z858" s="3"/>
      <c r="AA858" s="6"/>
      <c r="AB858" s="6"/>
      <c r="AC858" s="3"/>
    </row>
    <row r="859" spans="1:29" ht="15.75" customHeight="1" x14ac:dyDescent="0.2">
      <c r="A859" s="2"/>
      <c r="B859" s="2"/>
      <c r="C859" s="2"/>
      <c r="D859" s="14"/>
      <c r="E859" s="6"/>
      <c r="F859" s="3"/>
      <c r="G859" s="6"/>
      <c r="H859" s="6"/>
      <c r="I859" s="3"/>
      <c r="J859" s="6"/>
      <c r="K859" s="3"/>
      <c r="L859" s="6"/>
      <c r="M859" s="6"/>
      <c r="N859" s="3"/>
      <c r="O859" s="6"/>
      <c r="P859" s="3"/>
      <c r="Q859" s="6"/>
      <c r="R859" s="6"/>
      <c r="S859" s="3"/>
      <c r="T859" s="6"/>
      <c r="U859" s="3"/>
      <c r="V859" s="6"/>
      <c r="W859" s="6"/>
      <c r="X859" s="3"/>
      <c r="Y859" s="6"/>
      <c r="Z859" s="3"/>
      <c r="AA859" s="6"/>
      <c r="AB859" s="6"/>
      <c r="AC859" s="3"/>
    </row>
    <row r="860" spans="1:29" ht="15.75" customHeight="1" x14ac:dyDescent="0.2">
      <c r="A860" s="2"/>
      <c r="B860" s="2"/>
      <c r="C860" s="2"/>
      <c r="D860" s="14"/>
      <c r="E860" s="6"/>
      <c r="F860" s="3"/>
      <c r="G860" s="6"/>
      <c r="H860" s="6"/>
      <c r="I860" s="3"/>
      <c r="J860" s="6"/>
      <c r="K860" s="3"/>
      <c r="L860" s="6"/>
      <c r="M860" s="6"/>
      <c r="N860" s="3"/>
      <c r="O860" s="6"/>
      <c r="P860" s="3"/>
      <c r="Q860" s="6"/>
      <c r="R860" s="6"/>
      <c r="S860" s="3"/>
      <c r="T860" s="6"/>
      <c r="U860" s="3"/>
      <c r="V860" s="6"/>
      <c r="W860" s="6"/>
      <c r="X860" s="3"/>
      <c r="Y860" s="6"/>
      <c r="Z860" s="3"/>
      <c r="AA860" s="6"/>
      <c r="AB860" s="6"/>
      <c r="AC860" s="3"/>
    </row>
    <row r="861" spans="1:29" ht="15.75" customHeight="1" x14ac:dyDescent="0.2">
      <c r="A861" s="2"/>
      <c r="B861" s="2"/>
      <c r="C861" s="2"/>
      <c r="D861" s="14"/>
      <c r="E861" s="6"/>
      <c r="F861" s="3"/>
      <c r="G861" s="6"/>
      <c r="H861" s="6"/>
      <c r="I861" s="3"/>
      <c r="J861" s="6"/>
      <c r="K861" s="3"/>
      <c r="L861" s="6"/>
      <c r="M861" s="6"/>
      <c r="N861" s="3"/>
      <c r="O861" s="6"/>
      <c r="P861" s="3"/>
      <c r="Q861" s="6"/>
      <c r="R861" s="6"/>
      <c r="S861" s="3"/>
      <c r="T861" s="6"/>
      <c r="U861" s="3"/>
      <c r="V861" s="6"/>
      <c r="W861" s="6"/>
      <c r="X861" s="3"/>
      <c r="Y861" s="6"/>
      <c r="Z861" s="3"/>
      <c r="AA861" s="6"/>
      <c r="AB861" s="6"/>
      <c r="AC861" s="3"/>
    </row>
    <row r="862" spans="1:29" ht="15.75" customHeight="1" x14ac:dyDescent="0.2">
      <c r="A862" s="2"/>
      <c r="B862" s="2"/>
      <c r="C862" s="2"/>
      <c r="D862" s="14"/>
      <c r="E862" s="6"/>
      <c r="F862" s="3"/>
      <c r="G862" s="6"/>
      <c r="H862" s="6"/>
      <c r="I862" s="3"/>
      <c r="J862" s="6"/>
      <c r="K862" s="3"/>
      <c r="L862" s="6"/>
      <c r="M862" s="6"/>
      <c r="N862" s="3"/>
      <c r="O862" s="6"/>
      <c r="P862" s="3"/>
      <c r="Q862" s="6"/>
      <c r="R862" s="6"/>
      <c r="S862" s="3"/>
      <c r="T862" s="6"/>
      <c r="U862" s="3"/>
      <c r="V862" s="6"/>
      <c r="W862" s="6"/>
      <c r="X862" s="3"/>
      <c r="Y862" s="6"/>
      <c r="Z862" s="3"/>
      <c r="AA862" s="6"/>
      <c r="AB862" s="6"/>
      <c r="AC862" s="3"/>
    </row>
    <row r="863" spans="1:29" ht="15.75" customHeight="1" x14ac:dyDescent="0.2">
      <c r="A863" s="2"/>
      <c r="B863" s="2"/>
      <c r="C863" s="2"/>
      <c r="D863" s="14"/>
      <c r="E863" s="6"/>
      <c r="F863" s="3"/>
      <c r="G863" s="6"/>
      <c r="H863" s="6"/>
      <c r="I863" s="3"/>
      <c r="J863" s="6"/>
      <c r="K863" s="3"/>
      <c r="L863" s="6"/>
      <c r="M863" s="6"/>
      <c r="N863" s="3"/>
      <c r="O863" s="6"/>
      <c r="P863" s="3"/>
      <c r="Q863" s="6"/>
      <c r="R863" s="6"/>
      <c r="S863" s="3"/>
      <c r="T863" s="6"/>
      <c r="U863" s="3"/>
      <c r="V863" s="6"/>
      <c r="W863" s="6"/>
      <c r="X863" s="3"/>
      <c r="Y863" s="6"/>
      <c r="Z863" s="3"/>
      <c r="AA863" s="6"/>
      <c r="AB863" s="6"/>
      <c r="AC863" s="3"/>
    </row>
    <row r="864" spans="1:29" ht="15.75" customHeight="1" x14ac:dyDescent="0.2">
      <c r="A864" s="2"/>
      <c r="B864" s="2"/>
      <c r="C864" s="2"/>
      <c r="D864" s="14"/>
      <c r="E864" s="6"/>
      <c r="F864" s="3"/>
      <c r="G864" s="6"/>
      <c r="H864" s="6"/>
      <c r="I864" s="3"/>
      <c r="J864" s="6"/>
      <c r="K864" s="3"/>
      <c r="L864" s="6"/>
      <c r="M864" s="6"/>
      <c r="N864" s="3"/>
      <c r="O864" s="6"/>
      <c r="P864" s="3"/>
      <c r="Q864" s="6"/>
      <c r="R864" s="6"/>
      <c r="S864" s="3"/>
      <c r="T864" s="6"/>
      <c r="U864" s="3"/>
      <c r="V864" s="6"/>
      <c r="W864" s="6"/>
      <c r="X864" s="3"/>
      <c r="Y864" s="6"/>
      <c r="Z864" s="3"/>
      <c r="AA864" s="6"/>
      <c r="AB864" s="6"/>
      <c r="AC864" s="3"/>
    </row>
    <row r="865" spans="1:29" ht="15.75" customHeight="1" x14ac:dyDescent="0.2">
      <c r="A865" s="2"/>
      <c r="B865" s="2"/>
      <c r="C865" s="2"/>
      <c r="D865" s="14"/>
      <c r="E865" s="6"/>
      <c r="F865" s="3"/>
      <c r="G865" s="6"/>
      <c r="H865" s="6"/>
      <c r="I865" s="3"/>
      <c r="J865" s="6"/>
      <c r="K865" s="3"/>
      <c r="L865" s="6"/>
      <c r="M865" s="6"/>
      <c r="N865" s="3"/>
      <c r="O865" s="6"/>
      <c r="P865" s="3"/>
      <c r="Q865" s="6"/>
      <c r="R865" s="6"/>
      <c r="S865" s="3"/>
      <c r="T865" s="6"/>
      <c r="U865" s="3"/>
      <c r="V865" s="6"/>
      <c r="W865" s="6"/>
      <c r="X865" s="3"/>
      <c r="Y865" s="6"/>
      <c r="Z865" s="3"/>
      <c r="AA865" s="6"/>
      <c r="AB865" s="6"/>
      <c r="AC865" s="3"/>
    </row>
    <row r="866" spans="1:29" ht="15.75" customHeight="1" x14ac:dyDescent="0.2">
      <c r="A866" s="2"/>
      <c r="B866" s="2"/>
      <c r="C866" s="2"/>
      <c r="D866" s="14"/>
      <c r="E866" s="6"/>
      <c r="F866" s="3"/>
      <c r="G866" s="6"/>
      <c r="H866" s="6"/>
      <c r="I866" s="3"/>
      <c r="J866" s="6"/>
      <c r="K866" s="3"/>
      <c r="L866" s="6"/>
      <c r="M866" s="6"/>
      <c r="N866" s="3"/>
      <c r="O866" s="6"/>
      <c r="P866" s="3"/>
      <c r="Q866" s="6"/>
      <c r="R866" s="6"/>
      <c r="S866" s="3"/>
      <c r="T866" s="6"/>
      <c r="U866" s="3"/>
      <c r="V866" s="6"/>
      <c r="W866" s="6"/>
      <c r="X866" s="3"/>
      <c r="Y866" s="6"/>
      <c r="Z866" s="3"/>
      <c r="AA866" s="6"/>
      <c r="AB866" s="6"/>
      <c r="AC866" s="3"/>
    </row>
    <row r="867" spans="1:29" ht="15.75" customHeight="1" x14ac:dyDescent="0.2">
      <c r="A867" s="2"/>
      <c r="B867" s="2"/>
      <c r="C867" s="2"/>
      <c r="D867" s="14"/>
      <c r="E867" s="6"/>
      <c r="F867" s="3"/>
      <c r="G867" s="6"/>
      <c r="H867" s="6"/>
      <c r="I867" s="3"/>
      <c r="J867" s="6"/>
      <c r="K867" s="3"/>
      <c r="L867" s="6"/>
      <c r="M867" s="6"/>
      <c r="N867" s="3"/>
      <c r="O867" s="6"/>
      <c r="P867" s="3"/>
      <c r="Q867" s="6"/>
      <c r="R867" s="6"/>
      <c r="S867" s="3"/>
      <c r="T867" s="6"/>
      <c r="U867" s="3"/>
      <c r="V867" s="6"/>
      <c r="W867" s="6"/>
      <c r="X867" s="3"/>
      <c r="Y867" s="6"/>
      <c r="Z867" s="3"/>
      <c r="AA867" s="6"/>
      <c r="AB867" s="6"/>
      <c r="AC867" s="3"/>
    </row>
    <row r="868" spans="1:29" ht="15.75" customHeight="1" x14ac:dyDescent="0.2">
      <c r="A868" s="2"/>
      <c r="B868" s="2"/>
      <c r="C868" s="2"/>
      <c r="D868" s="14"/>
      <c r="E868" s="6"/>
      <c r="F868" s="3"/>
      <c r="G868" s="6"/>
      <c r="H868" s="6"/>
      <c r="I868" s="3"/>
      <c r="J868" s="6"/>
      <c r="K868" s="3"/>
      <c r="L868" s="6"/>
      <c r="M868" s="6"/>
      <c r="N868" s="3"/>
      <c r="O868" s="6"/>
      <c r="P868" s="3"/>
      <c r="Q868" s="6"/>
      <c r="R868" s="6"/>
      <c r="S868" s="3"/>
      <c r="T868" s="6"/>
      <c r="U868" s="3"/>
      <c r="V868" s="6"/>
      <c r="W868" s="6"/>
      <c r="X868" s="3"/>
      <c r="Y868" s="6"/>
      <c r="Z868" s="3"/>
      <c r="AA868" s="6"/>
      <c r="AB868" s="6"/>
      <c r="AC868" s="3"/>
    </row>
    <row r="869" spans="1:29" ht="15.75" customHeight="1" x14ac:dyDescent="0.2">
      <c r="A869" s="2"/>
      <c r="B869" s="2"/>
      <c r="C869" s="2"/>
      <c r="D869" s="14"/>
      <c r="E869" s="6"/>
      <c r="F869" s="3"/>
      <c r="G869" s="6"/>
      <c r="H869" s="6"/>
      <c r="I869" s="3"/>
      <c r="J869" s="6"/>
      <c r="K869" s="3"/>
      <c r="L869" s="6"/>
      <c r="M869" s="6"/>
      <c r="N869" s="3"/>
      <c r="O869" s="6"/>
      <c r="P869" s="3"/>
      <c r="Q869" s="6"/>
      <c r="R869" s="6"/>
      <c r="S869" s="3"/>
      <c r="T869" s="6"/>
      <c r="U869" s="3"/>
      <c r="V869" s="6"/>
      <c r="W869" s="6"/>
      <c r="X869" s="3"/>
      <c r="Y869" s="6"/>
      <c r="Z869" s="3"/>
      <c r="AA869" s="6"/>
      <c r="AB869" s="6"/>
      <c r="AC869" s="3"/>
    </row>
    <row r="870" spans="1:29" ht="15.75" customHeight="1" x14ac:dyDescent="0.2">
      <c r="A870" s="2"/>
      <c r="B870" s="2"/>
      <c r="C870" s="2"/>
      <c r="D870" s="14"/>
      <c r="E870" s="6"/>
      <c r="F870" s="3"/>
      <c r="G870" s="6"/>
      <c r="H870" s="6"/>
      <c r="I870" s="3"/>
      <c r="J870" s="6"/>
      <c r="K870" s="3"/>
      <c r="L870" s="6"/>
      <c r="M870" s="6"/>
      <c r="N870" s="3"/>
      <c r="O870" s="6"/>
      <c r="P870" s="3"/>
      <c r="Q870" s="6"/>
      <c r="R870" s="6"/>
      <c r="S870" s="3"/>
      <c r="T870" s="6"/>
      <c r="U870" s="3"/>
      <c r="V870" s="6"/>
      <c r="W870" s="6"/>
      <c r="X870" s="3"/>
      <c r="Y870" s="6"/>
      <c r="Z870" s="3"/>
      <c r="AA870" s="6"/>
      <c r="AB870" s="6"/>
      <c r="AC870" s="3"/>
    </row>
    <row r="871" spans="1:29" ht="15.75" customHeight="1" x14ac:dyDescent="0.2">
      <c r="A871" s="2"/>
      <c r="B871" s="2"/>
      <c r="C871" s="2"/>
      <c r="D871" s="14"/>
      <c r="E871" s="6"/>
      <c r="F871" s="3"/>
      <c r="G871" s="6"/>
      <c r="H871" s="6"/>
      <c r="I871" s="3"/>
      <c r="J871" s="6"/>
      <c r="K871" s="3"/>
      <c r="L871" s="6"/>
      <c r="M871" s="6"/>
      <c r="N871" s="3"/>
      <c r="O871" s="6"/>
      <c r="P871" s="3"/>
      <c r="Q871" s="6"/>
      <c r="R871" s="6"/>
      <c r="S871" s="3"/>
      <c r="T871" s="6"/>
      <c r="U871" s="3"/>
      <c r="V871" s="6"/>
      <c r="W871" s="6"/>
      <c r="X871" s="3"/>
      <c r="Y871" s="6"/>
      <c r="Z871" s="3"/>
      <c r="AA871" s="6"/>
      <c r="AB871" s="6"/>
      <c r="AC871" s="3"/>
    </row>
    <row r="872" spans="1:29" ht="15.75" customHeight="1" x14ac:dyDescent="0.2">
      <c r="A872" s="2"/>
      <c r="B872" s="2"/>
      <c r="C872" s="2"/>
      <c r="D872" s="14"/>
      <c r="E872" s="6"/>
      <c r="F872" s="3"/>
      <c r="G872" s="6"/>
      <c r="H872" s="6"/>
      <c r="I872" s="3"/>
      <c r="J872" s="6"/>
      <c r="K872" s="3"/>
      <c r="L872" s="6"/>
      <c r="M872" s="6"/>
      <c r="N872" s="3"/>
      <c r="O872" s="6"/>
      <c r="P872" s="3"/>
      <c r="Q872" s="6"/>
      <c r="R872" s="6"/>
      <c r="S872" s="3"/>
      <c r="T872" s="6"/>
      <c r="U872" s="3"/>
      <c r="V872" s="6"/>
      <c r="W872" s="6"/>
      <c r="X872" s="3"/>
      <c r="Y872" s="6"/>
      <c r="Z872" s="3"/>
      <c r="AA872" s="6"/>
      <c r="AB872" s="6"/>
      <c r="AC872" s="3"/>
    </row>
    <row r="873" spans="1:29" ht="15.75" customHeight="1" x14ac:dyDescent="0.2">
      <c r="A873" s="2"/>
      <c r="B873" s="2"/>
      <c r="C873" s="2"/>
      <c r="D873" s="14"/>
      <c r="E873" s="6"/>
      <c r="F873" s="3"/>
      <c r="G873" s="6"/>
      <c r="H873" s="6"/>
      <c r="I873" s="3"/>
      <c r="J873" s="6"/>
      <c r="K873" s="3"/>
      <c r="L873" s="6"/>
      <c r="M873" s="6"/>
      <c r="N873" s="3"/>
      <c r="O873" s="6"/>
      <c r="P873" s="3"/>
      <c r="Q873" s="6"/>
      <c r="R873" s="6"/>
      <c r="S873" s="3"/>
      <c r="T873" s="6"/>
      <c r="U873" s="3"/>
      <c r="V873" s="6"/>
      <c r="W873" s="6"/>
      <c r="X873" s="3"/>
      <c r="Y873" s="6"/>
      <c r="Z873" s="3"/>
      <c r="AA873" s="6"/>
      <c r="AB873" s="6"/>
      <c r="AC873" s="3"/>
    </row>
    <row r="874" spans="1:29" ht="15.75" customHeight="1" x14ac:dyDescent="0.2">
      <c r="A874" s="2"/>
      <c r="B874" s="2"/>
      <c r="C874" s="2"/>
      <c r="D874" s="14"/>
      <c r="E874" s="6"/>
      <c r="F874" s="3"/>
      <c r="G874" s="6"/>
      <c r="H874" s="6"/>
      <c r="I874" s="3"/>
      <c r="J874" s="6"/>
      <c r="K874" s="3"/>
      <c r="L874" s="6"/>
      <c r="M874" s="6"/>
      <c r="N874" s="3"/>
      <c r="O874" s="6"/>
      <c r="P874" s="3"/>
      <c r="Q874" s="6"/>
      <c r="R874" s="6"/>
      <c r="S874" s="3"/>
      <c r="T874" s="6"/>
      <c r="U874" s="3"/>
      <c r="V874" s="6"/>
      <c r="W874" s="6"/>
      <c r="X874" s="3"/>
      <c r="Y874" s="6"/>
      <c r="Z874" s="3"/>
      <c r="AA874" s="6"/>
      <c r="AB874" s="6"/>
      <c r="AC874" s="3"/>
    </row>
    <row r="875" spans="1:29" ht="15.75" customHeight="1" x14ac:dyDescent="0.2">
      <c r="A875" s="2"/>
      <c r="B875" s="2"/>
      <c r="C875" s="2"/>
      <c r="D875" s="14"/>
      <c r="E875" s="6"/>
      <c r="F875" s="3"/>
      <c r="G875" s="6"/>
      <c r="H875" s="6"/>
      <c r="I875" s="3"/>
      <c r="J875" s="6"/>
      <c r="K875" s="3"/>
      <c r="L875" s="6"/>
      <c r="M875" s="6"/>
      <c r="N875" s="3"/>
      <c r="O875" s="6"/>
      <c r="P875" s="3"/>
      <c r="Q875" s="6"/>
      <c r="R875" s="6"/>
      <c r="S875" s="3"/>
      <c r="T875" s="6"/>
      <c r="U875" s="3"/>
      <c r="V875" s="6"/>
      <c r="W875" s="6"/>
      <c r="X875" s="3"/>
      <c r="Y875" s="6"/>
      <c r="Z875" s="3"/>
      <c r="AA875" s="6"/>
      <c r="AB875" s="6"/>
      <c r="AC875" s="3"/>
    </row>
    <row r="876" spans="1:29" ht="15.75" customHeight="1" x14ac:dyDescent="0.2">
      <c r="A876" s="2"/>
      <c r="B876" s="2"/>
      <c r="C876" s="2"/>
      <c r="D876" s="14"/>
      <c r="E876" s="6"/>
      <c r="F876" s="3"/>
      <c r="G876" s="6"/>
      <c r="H876" s="6"/>
      <c r="I876" s="3"/>
      <c r="J876" s="6"/>
      <c r="K876" s="3"/>
      <c r="L876" s="6"/>
      <c r="M876" s="6"/>
      <c r="N876" s="3"/>
      <c r="O876" s="6"/>
      <c r="P876" s="3"/>
      <c r="Q876" s="6"/>
      <c r="R876" s="6"/>
      <c r="S876" s="3"/>
      <c r="T876" s="6"/>
      <c r="U876" s="3"/>
      <c r="V876" s="6"/>
      <c r="W876" s="6"/>
      <c r="X876" s="3"/>
      <c r="Y876" s="6"/>
      <c r="Z876" s="3"/>
      <c r="AA876" s="6"/>
      <c r="AB876" s="6"/>
      <c r="AC876" s="3"/>
    </row>
    <row r="877" spans="1:29" ht="15.75" customHeight="1" x14ac:dyDescent="0.2">
      <c r="A877" s="2"/>
      <c r="B877" s="2"/>
      <c r="C877" s="2"/>
      <c r="D877" s="14"/>
      <c r="E877" s="6"/>
      <c r="F877" s="3"/>
      <c r="G877" s="6"/>
      <c r="H877" s="6"/>
      <c r="I877" s="3"/>
      <c r="J877" s="6"/>
      <c r="K877" s="3"/>
      <c r="L877" s="6"/>
      <c r="M877" s="6"/>
      <c r="N877" s="3"/>
      <c r="O877" s="6"/>
      <c r="P877" s="3"/>
      <c r="Q877" s="6"/>
      <c r="R877" s="6"/>
      <c r="S877" s="3"/>
      <c r="T877" s="6"/>
      <c r="U877" s="3"/>
      <c r="V877" s="6"/>
      <c r="W877" s="6"/>
      <c r="X877" s="3"/>
      <c r="Y877" s="6"/>
      <c r="Z877" s="3"/>
      <c r="AA877" s="6"/>
      <c r="AB877" s="6"/>
      <c r="AC877" s="3"/>
    </row>
    <row r="878" spans="1:29" ht="15.75" customHeight="1" x14ac:dyDescent="0.2">
      <c r="A878" s="2"/>
      <c r="B878" s="2"/>
      <c r="C878" s="2"/>
      <c r="D878" s="14"/>
      <c r="E878" s="6"/>
      <c r="F878" s="3"/>
      <c r="G878" s="6"/>
      <c r="H878" s="6"/>
      <c r="I878" s="3"/>
      <c r="J878" s="6"/>
      <c r="K878" s="3"/>
      <c r="L878" s="6"/>
      <c r="M878" s="6"/>
      <c r="N878" s="3"/>
      <c r="O878" s="6"/>
      <c r="P878" s="3"/>
      <c r="Q878" s="6"/>
      <c r="R878" s="6"/>
      <c r="S878" s="3"/>
      <c r="T878" s="6"/>
      <c r="U878" s="3"/>
      <c r="V878" s="6"/>
      <c r="W878" s="6"/>
      <c r="X878" s="3"/>
      <c r="Y878" s="6"/>
      <c r="Z878" s="3"/>
      <c r="AA878" s="6"/>
      <c r="AB878" s="6"/>
      <c r="AC878" s="3"/>
    </row>
    <row r="879" spans="1:29" ht="15.75" customHeight="1" x14ac:dyDescent="0.2">
      <c r="A879" s="2"/>
      <c r="B879" s="2"/>
      <c r="C879" s="2"/>
      <c r="D879" s="14"/>
      <c r="E879" s="6"/>
      <c r="F879" s="3"/>
      <c r="G879" s="6"/>
      <c r="H879" s="6"/>
      <c r="I879" s="3"/>
      <c r="J879" s="6"/>
      <c r="K879" s="3"/>
      <c r="L879" s="6"/>
      <c r="M879" s="6"/>
      <c r="N879" s="3"/>
      <c r="O879" s="6"/>
      <c r="P879" s="3"/>
      <c r="Q879" s="6"/>
      <c r="R879" s="6"/>
      <c r="S879" s="3"/>
      <c r="T879" s="6"/>
      <c r="U879" s="3"/>
      <c r="V879" s="6"/>
      <c r="W879" s="6"/>
      <c r="X879" s="3"/>
      <c r="Y879" s="6"/>
      <c r="Z879" s="3"/>
      <c r="AA879" s="6"/>
      <c r="AB879" s="6"/>
      <c r="AC879" s="3"/>
    </row>
    <row r="880" spans="1:29" ht="15.75" customHeight="1" x14ac:dyDescent="0.2">
      <c r="A880" s="2"/>
      <c r="B880" s="2"/>
      <c r="C880" s="2"/>
      <c r="D880" s="14"/>
      <c r="E880" s="6"/>
      <c r="F880" s="3"/>
      <c r="G880" s="6"/>
      <c r="H880" s="6"/>
      <c r="I880" s="3"/>
      <c r="J880" s="6"/>
      <c r="K880" s="3"/>
      <c r="L880" s="6"/>
      <c r="M880" s="6"/>
      <c r="N880" s="3"/>
      <c r="O880" s="6"/>
      <c r="P880" s="3"/>
      <c r="Q880" s="6"/>
      <c r="R880" s="6"/>
      <c r="S880" s="3"/>
      <c r="T880" s="6"/>
      <c r="U880" s="3"/>
      <c r="V880" s="6"/>
      <c r="W880" s="6"/>
      <c r="X880" s="3"/>
      <c r="Y880" s="6"/>
      <c r="Z880" s="3"/>
      <c r="AA880" s="6"/>
      <c r="AB880" s="6"/>
      <c r="AC880" s="3"/>
    </row>
    <row r="881" spans="1:29" ht="15.75" customHeight="1" x14ac:dyDescent="0.2">
      <c r="A881" s="2"/>
      <c r="B881" s="2"/>
      <c r="C881" s="2"/>
      <c r="D881" s="14"/>
      <c r="E881" s="6"/>
      <c r="F881" s="3"/>
      <c r="G881" s="6"/>
      <c r="H881" s="6"/>
      <c r="I881" s="3"/>
      <c r="J881" s="6"/>
      <c r="K881" s="3"/>
      <c r="L881" s="6"/>
      <c r="M881" s="6"/>
      <c r="N881" s="3"/>
      <c r="O881" s="6"/>
      <c r="P881" s="3"/>
      <c r="Q881" s="6"/>
      <c r="R881" s="6"/>
      <c r="S881" s="3"/>
      <c r="T881" s="6"/>
      <c r="U881" s="3"/>
      <c r="V881" s="6"/>
      <c r="W881" s="6"/>
      <c r="X881" s="3"/>
      <c r="Y881" s="6"/>
      <c r="Z881" s="3"/>
      <c r="AA881" s="6"/>
      <c r="AB881" s="6"/>
      <c r="AC881" s="3"/>
    </row>
    <row r="882" spans="1:29" ht="15.75" customHeight="1" x14ac:dyDescent="0.2">
      <c r="A882" s="2"/>
      <c r="B882" s="2"/>
      <c r="C882" s="2"/>
      <c r="D882" s="14"/>
      <c r="E882" s="6"/>
      <c r="F882" s="3"/>
      <c r="G882" s="6"/>
      <c r="H882" s="6"/>
      <c r="I882" s="3"/>
      <c r="J882" s="6"/>
      <c r="K882" s="3"/>
      <c r="L882" s="6"/>
      <c r="M882" s="6"/>
      <c r="N882" s="3"/>
      <c r="O882" s="6"/>
      <c r="P882" s="3"/>
      <c r="Q882" s="6"/>
      <c r="R882" s="6"/>
      <c r="S882" s="3"/>
      <c r="T882" s="6"/>
      <c r="U882" s="3"/>
      <c r="V882" s="6"/>
      <c r="W882" s="6"/>
      <c r="X882" s="3"/>
      <c r="Y882" s="6"/>
      <c r="Z882" s="3"/>
      <c r="AA882" s="6"/>
      <c r="AB882" s="6"/>
      <c r="AC882" s="3"/>
    </row>
    <row r="883" spans="1:29" ht="15.75" customHeight="1" x14ac:dyDescent="0.2">
      <c r="A883" s="2"/>
      <c r="B883" s="2"/>
      <c r="C883" s="2"/>
      <c r="D883" s="14"/>
      <c r="E883" s="6"/>
      <c r="F883" s="3"/>
      <c r="G883" s="6"/>
      <c r="H883" s="6"/>
      <c r="I883" s="3"/>
      <c r="J883" s="6"/>
      <c r="K883" s="3"/>
      <c r="L883" s="6"/>
      <c r="M883" s="6"/>
      <c r="N883" s="3"/>
      <c r="O883" s="6"/>
      <c r="P883" s="3"/>
      <c r="Q883" s="6"/>
      <c r="R883" s="6"/>
      <c r="S883" s="3"/>
      <c r="T883" s="6"/>
      <c r="U883" s="3"/>
      <c r="V883" s="6"/>
      <c r="W883" s="6"/>
      <c r="X883" s="3"/>
      <c r="Y883" s="6"/>
      <c r="Z883" s="3"/>
      <c r="AA883" s="6"/>
      <c r="AB883" s="6"/>
      <c r="AC883" s="3"/>
    </row>
    <row r="884" spans="1:29" ht="15.75" customHeight="1" x14ac:dyDescent="0.2">
      <c r="A884" s="2"/>
      <c r="B884" s="2"/>
      <c r="C884" s="2"/>
      <c r="D884" s="14"/>
      <c r="E884" s="6"/>
      <c r="F884" s="3"/>
      <c r="G884" s="6"/>
      <c r="H884" s="6"/>
      <c r="I884" s="3"/>
      <c r="J884" s="6"/>
      <c r="K884" s="3"/>
      <c r="L884" s="6"/>
      <c r="M884" s="6"/>
      <c r="N884" s="3"/>
      <c r="O884" s="6"/>
      <c r="P884" s="3"/>
      <c r="Q884" s="6"/>
      <c r="R884" s="6"/>
      <c r="S884" s="3"/>
      <c r="T884" s="6"/>
      <c r="U884" s="3"/>
      <c r="V884" s="6"/>
      <c r="W884" s="6"/>
      <c r="X884" s="3"/>
      <c r="Y884" s="6"/>
      <c r="Z884" s="3"/>
      <c r="AA884" s="6"/>
      <c r="AB884" s="6"/>
      <c r="AC884" s="3"/>
    </row>
    <row r="885" spans="1:29" ht="15.75" customHeight="1" x14ac:dyDescent="0.2">
      <c r="A885" s="2"/>
      <c r="B885" s="2"/>
      <c r="C885" s="2"/>
      <c r="D885" s="14"/>
      <c r="E885" s="6"/>
      <c r="F885" s="3"/>
      <c r="G885" s="6"/>
      <c r="H885" s="6"/>
      <c r="I885" s="3"/>
      <c r="J885" s="6"/>
      <c r="K885" s="3"/>
      <c r="L885" s="6"/>
      <c r="M885" s="6"/>
      <c r="N885" s="3"/>
      <c r="O885" s="6"/>
      <c r="P885" s="3"/>
      <c r="Q885" s="6"/>
      <c r="R885" s="6"/>
      <c r="S885" s="3"/>
      <c r="T885" s="6"/>
      <c r="U885" s="3"/>
      <c r="V885" s="6"/>
      <c r="W885" s="6"/>
      <c r="X885" s="3"/>
      <c r="Y885" s="6"/>
      <c r="Z885" s="3"/>
      <c r="AA885" s="6"/>
      <c r="AB885" s="6"/>
      <c r="AC885" s="3"/>
    </row>
    <row r="886" spans="1:29" ht="15.75" customHeight="1" x14ac:dyDescent="0.2">
      <c r="A886" s="2"/>
      <c r="B886" s="2"/>
      <c r="C886" s="2"/>
      <c r="D886" s="14"/>
      <c r="E886" s="6"/>
      <c r="F886" s="3"/>
      <c r="G886" s="6"/>
      <c r="H886" s="6"/>
      <c r="I886" s="3"/>
      <c r="J886" s="6"/>
      <c r="K886" s="3"/>
      <c r="L886" s="6"/>
      <c r="M886" s="6"/>
      <c r="N886" s="3"/>
      <c r="O886" s="6"/>
      <c r="P886" s="3"/>
      <c r="Q886" s="6"/>
      <c r="R886" s="6"/>
      <c r="S886" s="3"/>
      <c r="T886" s="6"/>
      <c r="U886" s="3"/>
      <c r="V886" s="6"/>
      <c r="W886" s="6"/>
      <c r="X886" s="3"/>
      <c r="Y886" s="6"/>
      <c r="Z886" s="3"/>
      <c r="AA886" s="6"/>
      <c r="AB886" s="6"/>
      <c r="AC886" s="3"/>
    </row>
    <row r="887" spans="1:29" ht="15.75" customHeight="1" x14ac:dyDescent="0.2">
      <c r="A887" s="2"/>
      <c r="B887" s="2"/>
      <c r="C887" s="2"/>
      <c r="D887" s="14"/>
      <c r="E887" s="6"/>
      <c r="F887" s="3"/>
      <c r="G887" s="6"/>
      <c r="H887" s="6"/>
      <c r="I887" s="3"/>
      <c r="J887" s="6"/>
      <c r="K887" s="3"/>
      <c r="L887" s="6"/>
      <c r="M887" s="6"/>
      <c r="N887" s="3"/>
      <c r="O887" s="6"/>
      <c r="P887" s="3"/>
      <c r="Q887" s="6"/>
      <c r="R887" s="6"/>
      <c r="S887" s="3"/>
      <c r="T887" s="6"/>
      <c r="U887" s="3"/>
      <c r="V887" s="6"/>
      <c r="W887" s="6"/>
      <c r="X887" s="3"/>
      <c r="Y887" s="6"/>
      <c r="Z887" s="3"/>
      <c r="AA887" s="6"/>
      <c r="AB887" s="6"/>
      <c r="AC887" s="3"/>
    </row>
    <row r="888" spans="1:29" ht="15.75" customHeight="1" x14ac:dyDescent="0.2">
      <c r="A888" s="2"/>
      <c r="B888" s="2"/>
      <c r="C888" s="2"/>
      <c r="D888" s="14"/>
      <c r="E888" s="6"/>
      <c r="F888" s="3"/>
      <c r="G888" s="6"/>
      <c r="H888" s="6"/>
      <c r="I888" s="3"/>
      <c r="J888" s="6"/>
      <c r="K888" s="3"/>
      <c r="L888" s="6"/>
      <c r="M888" s="6"/>
      <c r="N888" s="3"/>
      <c r="O888" s="6"/>
      <c r="P888" s="3"/>
      <c r="Q888" s="6"/>
      <c r="R888" s="6"/>
      <c r="S888" s="3"/>
      <c r="T888" s="6"/>
      <c r="U888" s="3"/>
      <c r="V888" s="6"/>
      <c r="W888" s="6"/>
      <c r="X888" s="3"/>
      <c r="Y888" s="6"/>
      <c r="Z888" s="3"/>
      <c r="AA888" s="6"/>
      <c r="AB888" s="6"/>
      <c r="AC888" s="3"/>
    </row>
    <row r="889" spans="1:29" ht="15.75" customHeight="1" x14ac:dyDescent="0.2">
      <c r="A889" s="2"/>
      <c r="B889" s="2"/>
      <c r="C889" s="2"/>
      <c r="D889" s="14"/>
      <c r="E889" s="6"/>
      <c r="F889" s="3"/>
      <c r="G889" s="6"/>
      <c r="H889" s="6"/>
      <c r="I889" s="3"/>
      <c r="J889" s="6"/>
      <c r="K889" s="3"/>
      <c r="L889" s="6"/>
      <c r="M889" s="6"/>
      <c r="N889" s="3"/>
      <c r="O889" s="6"/>
      <c r="P889" s="3"/>
      <c r="Q889" s="6"/>
      <c r="R889" s="6"/>
      <c r="S889" s="3"/>
      <c r="T889" s="6"/>
      <c r="U889" s="3"/>
      <c r="V889" s="6"/>
      <c r="W889" s="6"/>
      <c r="X889" s="3"/>
      <c r="Y889" s="6"/>
      <c r="Z889" s="3"/>
      <c r="AA889" s="6"/>
      <c r="AB889" s="6"/>
      <c r="AC889" s="3"/>
    </row>
    <row r="890" spans="1:29" ht="15.75" customHeight="1" x14ac:dyDescent="0.2">
      <c r="A890" s="2"/>
      <c r="B890" s="2"/>
      <c r="C890" s="2"/>
      <c r="D890" s="14"/>
      <c r="E890" s="6"/>
      <c r="F890" s="3"/>
      <c r="G890" s="6"/>
      <c r="H890" s="6"/>
      <c r="I890" s="3"/>
      <c r="J890" s="6"/>
      <c r="K890" s="3"/>
      <c r="L890" s="6"/>
      <c r="M890" s="6"/>
      <c r="N890" s="3"/>
      <c r="O890" s="6"/>
      <c r="P890" s="3"/>
      <c r="Q890" s="6"/>
      <c r="R890" s="6"/>
      <c r="S890" s="3"/>
      <c r="T890" s="6"/>
      <c r="U890" s="3"/>
      <c r="V890" s="6"/>
      <c r="W890" s="6"/>
      <c r="X890" s="3"/>
      <c r="Y890" s="6"/>
      <c r="Z890" s="3"/>
      <c r="AA890" s="6"/>
      <c r="AB890" s="6"/>
      <c r="AC890" s="3"/>
    </row>
    <row r="891" spans="1:29" ht="15.75" customHeight="1" x14ac:dyDescent="0.2">
      <c r="A891" s="2"/>
      <c r="B891" s="2"/>
      <c r="C891" s="2"/>
      <c r="D891" s="14"/>
      <c r="E891" s="6"/>
      <c r="F891" s="3"/>
      <c r="G891" s="6"/>
      <c r="H891" s="6"/>
      <c r="I891" s="3"/>
      <c r="J891" s="6"/>
      <c r="K891" s="3"/>
      <c r="L891" s="6"/>
      <c r="M891" s="6"/>
      <c r="N891" s="3"/>
      <c r="O891" s="6"/>
      <c r="P891" s="3"/>
      <c r="Q891" s="6"/>
      <c r="R891" s="6"/>
      <c r="S891" s="3"/>
      <c r="T891" s="6"/>
      <c r="U891" s="3"/>
      <c r="V891" s="6"/>
      <c r="W891" s="6"/>
      <c r="X891" s="3"/>
      <c r="Y891" s="6"/>
      <c r="Z891" s="3"/>
      <c r="AA891" s="6"/>
      <c r="AB891" s="6"/>
      <c r="AC891" s="3"/>
    </row>
    <row r="892" spans="1:29" ht="15.75" customHeight="1" x14ac:dyDescent="0.2">
      <c r="A892" s="2"/>
      <c r="B892" s="2"/>
      <c r="C892" s="2"/>
      <c r="D892" s="14"/>
      <c r="E892" s="6"/>
      <c r="F892" s="3"/>
      <c r="G892" s="6"/>
      <c r="H892" s="6"/>
      <c r="I892" s="3"/>
      <c r="J892" s="6"/>
      <c r="K892" s="3"/>
      <c r="L892" s="6"/>
      <c r="M892" s="6"/>
      <c r="N892" s="3"/>
      <c r="O892" s="6"/>
      <c r="P892" s="3"/>
      <c r="Q892" s="6"/>
      <c r="R892" s="6"/>
      <c r="S892" s="3"/>
      <c r="T892" s="6"/>
      <c r="U892" s="3"/>
      <c r="V892" s="6"/>
      <c r="W892" s="6"/>
      <c r="X892" s="3"/>
      <c r="Y892" s="6"/>
      <c r="Z892" s="3"/>
      <c r="AA892" s="6"/>
      <c r="AB892" s="6"/>
      <c r="AC892" s="3"/>
    </row>
    <row r="893" spans="1:29" ht="15.75" customHeight="1" x14ac:dyDescent="0.2">
      <c r="A893" s="2"/>
      <c r="B893" s="2"/>
      <c r="C893" s="2"/>
      <c r="D893" s="14"/>
      <c r="E893" s="6"/>
      <c r="F893" s="3"/>
      <c r="G893" s="6"/>
      <c r="H893" s="6"/>
      <c r="I893" s="3"/>
      <c r="J893" s="6"/>
      <c r="K893" s="3"/>
      <c r="L893" s="6"/>
      <c r="M893" s="6"/>
      <c r="N893" s="3"/>
      <c r="O893" s="6"/>
      <c r="P893" s="3"/>
      <c r="Q893" s="6"/>
      <c r="R893" s="6"/>
      <c r="S893" s="3"/>
      <c r="T893" s="6"/>
      <c r="U893" s="3"/>
      <c r="V893" s="6"/>
      <c r="W893" s="6"/>
      <c r="X893" s="3"/>
      <c r="Y893" s="6"/>
      <c r="Z893" s="3"/>
      <c r="AA893" s="6"/>
      <c r="AB893" s="6"/>
      <c r="AC893" s="3"/>
    </row>
    <row r="894" spans="1:29" ht="15.75" customHeight="1" x14ac:dyDescent="0.2">
      <c r="A894" s="2"/>
      <c r="B894" s="2"/>
      <c r="C894" s="2"/>
      <c r="D894" s="14"/>
      <c r="E894" s="6"/>
      <c r="F894" s="3"/>
      <c r="G894" s="6"/>
      <c r="H894" s="6"/>
      <c r="I894" s="3"/>
      <c r="J894" s="6"/>
      <c r="K894" s="3"/>
      <c r="L894" s="6"/>
      <c r="M894" s="6"/>
      <c r="N894" s="3"/>
      <c r="O894" s="6"/>
      <c r="P894" s="3"/>
      <c r="Q894" s="6"/>
      <c r="R894" s="6"/>
      <c r="S894" s="3"/>
      <c r="T894" s="6"/>
      <c r="U894" s="3"/>
      <c r="V894" s="6"/>
      <c r="W894" s="6"/>
      <c r="X894" s="3"/>
      <c r="Y894" s="6"/>
      <c r="Z894" s="3"/>
      <c r="AA894" s="6"/>
      <c r="AB894" s="6"/>
      <c r="AC894" s="3"/>
    </row>
    <row r="895" spans="1:29" ht="15.75" customHeight="1" x14ac:dyDescent="0.2">
      <c r="A895" s="2"/>
      <c r="B895" s="2"/>
      <c r="C895" s="2"/>
      <c r="D895" s="14"/>
      <c r="E895" s="6"/>
      <c r="F895" s="3"/>
      <c r="G895" s="6"/>
      <c r="H895" s="6"/>
      <c r="I895" s="3"/>
      <c r="J895" s="6"/>
      <c r="K895" s="3"/>
      <c r="L895" s="6"/>
      <c r="M895" s="6"/>
      <c r="N895" s="3"/>
      <c r="O895" s="6"/>
      <c r="P895" s="3"/>
      <c r="Q895" s="6"/>
      <c r="R895" s="6"/>
      <c r="S895" s="3"/>
      <c r="T895" s="6"/>
      <c r="U895" s="3"/>
      <c r="V895" s="6"/>
      <c r="W895" s="6"/>
      <c r="X895" s="3"/>
      <c r="Y895" s="6"/>
      <c r="Z895" s="3"/>
      <c r="AA895" s="6"/>
      <c r="AB895" s="6"/>
      <c r="AC895" s="3"/>
    </row>
    <row r="896" spans="1:29" ht="15.75" customHeight="1" x14ac:dyDescent="0.2">
      <c r="A896" s="2"/>
      <c r="B896" s="2"/>
      <c r="C896" s="2"/>
      <c r="D896" s="14"/>
      <c r="E896" s="6"/>
      <c r="F896" s="3"/>
      <c r="G896" s="6"/>
      <c r="H896" s="6"/>
      <c r="I896" s="3"/>
      <c r="J896" s="6"/>
      <c r="K896" s="3"/>
      <c r="L896" s="6"/>
      <c r="M896" s="6"/>
      <c r="N896" s="3"/>
      <c r="O896" s="6"/>
      <c r="P896" s="3"/>
      <c r="Q896" s="6"/>
      <c r="R896" s="6"/>
      <c r="S896" s="3"/>
      <c r="T896" s="6"/>
      <c r="U896" s="3"/>
      <c r="V896" s="6"/>
      <c r="W896" s="6"/>
      <c r="X896" s="3"/>
      <c r="Y896" s="6"/>
      <c r="Z896" s="3"/>
      <c r="AA896" s="6"/>
      <c r="AB896" s="6"/>
      <c r="AC896" s="3"/>
    </row>
    <row r="897" spans="1:29" ht="15.75" customHeight="1" x14ac:dyDescent="0.2">
      <c r="A897" s="2"/>
      <c r="B897" s="2"/>
      <c r="C897" s="2"/>
      <c r="D897" s="14"/>
      <c r="E897" s="6"/>
      <c r="F897" s="3"/>
      <c r="G897" s="6"/>
      <c r="H897" s="6"/>
      <c r="I897" s="3"/>
      <c r="J897" s="6"/>
      <c r="K897" s="3"/>
      <c r="L897" s="6"/>
      <c r="M897" s="6"/>
      <c r="N897" s="3"/>
      <c r="O897" s="6"/>
      <c r="P897" s="3"/>
      <c r="Q897" s="6"/>
      <c r="R897" s="6"/>
      <c r="S897" s="3"/>
      <c r="T897" s="6"/>
      <c r="U897" s="3"/>
      <c r="V897" s="6"/>
      <c r="W897" s="6"/>
      <c r="X897" s="3"/>
      <c r="Y897" s="6"/>
      <c r="Z897" s="3"/>
      <c r="AA897" s="6"/>
      <c r="AB897" s="6"/>
      <c r="AC897" s="3"/>
    </row>
    <row r="898" spans="1:29" ht="15.75" customHeight="1" x14ac:dyDescent="0.2">
      <c r="A898" s="2"/>
      <c r="B898" s="2"/>
      <c r="C898" s="2"/>
      <c r="D898" s="14"/>
      <c r="E898" s="6"/>
      <c r="F898" s="3"/>
      <c r="G898" s="6"/>
      <c r="H898" s="6"/>
      <c r="I898" s="3"/>
      <c r="J898" s="6"/>
      <c r="K898" s="3"/>
      <c r="L898" s="6"/>
      <c r="M898" s="6"/>
      <c r="N898" s="3"/>
      <c r="O898" s="6"/>
      <c r="P898" s="3"/>
      <c r="Q898" s="6"/>
      <c r="R898" s="6"/>
      <c r="S898" s="3"/>
      <c r="T898" s="6"/>
      <c r="U898" s="3"/>
      <c r="V898" s="6"/>
      <c r="W898" s="6"/>
      <c r="X898" s="3"/>
      <c r="Y898" s="6"/>
      <c r="Z898" s="3"/>
      <c r="AA898" s="6"/>
      <c r="AB898" s="6"/>
      <c r="AC898" s="3"/>
    </row>
    <row r="899" spans="1:29" ht="15.75" customHeight="1" x14ac:dyDescent="0.2">
      <c r="A899" s="2"/>
      <c r="B899" s="2"/>
      <c r="C899" s="2"/>
      <c r="D899" s="14"/>
      <c r="E899" s="6"/>
      <c r="F899" s="3"/>
      <c r="G899" s="6"/>
      <c r="H899" s="6"/>
      <c r="I899" s="3"/>
      <c r="J899" s="6"/>
      <c r="K899" s="3"/>
      <c r="L899" s="6"/>
      <c r="M899" s="6"/>
      <c r="N899" s="3"/>
      <c r="O899" s="6"/>
      <c r="P899" s="3"/>
      <c r="Q899" s="6"/>
      <c r="R899" s="6"/>
      <c r="S899" s="3"/>
      <c r="T899" s="6"/>
      <c r="U899" s="3"/>
      <c r="V899" s="6"/>
      <c r="W899" s="6"/>
      <c r="X899" s="3"/>
      <c r="Y899" s="6"/>
      <c r="Z899" s="3"/>
      <c r="AA899" s="6"/>
      <c r="AB899" s="6"/>
      <c r="AC899" s="3"/>
    </row>
    <row r="900" spans="1:29" ht="15.75" customHeight="1" x14ac:dyDescent="0.2">
      <c r="A900" s="2"/>
      <c r="B900" s="2"/>
      <c r="C900" s="2"/>
      <c r="D900" s="14"/>
      <c r="E900" s="6"/>
      <c r="F900" s="3"/>
      <c r="G900" s="6"/>
      <c r="H900" s="6"/>
      <c r="I900" s="3"/>
      <c r="J900" s="6"/>
      <c r="K900" s="3"/>
      <c r="L900" s="6"/>
      <c r="M900" s="6"/>
      <c r="N900" s="3"/>
      <c r="O900" s="6"/>
      <c r="P900" s="3"/>
      <c r="Q900" s="6"/>
      <c r="R900" s="6"/>
      <c r="S900" s="3"/>
      <c r="T900" s="6"/>
      <c r="U900" s="3"/>
      <c r="V900" s="6"/>
      <c r="W900" s="6"/>
      <c r="X900" s="3"/>
      <c r="Y900" s="6"/>
      <c r="Z900" s="3"/>
      <c r="AA900" s="6"/>
      <c r="AB900" s="6"/>
      <c r="AC900" s="3"/>
    </row>
    <row r="901" spans="1:29" ht="15.75" customHeight="1" x14ac:dyDescent="0.2">
      <c r="A901" s="2"/>
      <c r="B901" s="2"/>
      <c r="C901" s="2"/>
      <c r="D901" s="14"/>
      <c r="E901" s="6"/>
      <c r="F901" s="3"/>
      <c r="G901" s="6"/>
      <c r="H901" s="6"/>
      <c r="I901" s="3"/>
      <c r="J901" s="6"/>
      <c r="K901" s="3"/>
      <c r="L901" s="6"/>
      <c r="M901" s="6"/>
      <c r="N901" s="3"/>
      <c r="O901" s="6"/>
      <c r="P901" s="3"/>
      <c r="Q901" s="6"/>
      <c r="R901" s="6"/>
      <c r="S901" s="3"/>
      <c r="T901" s="6"/>
      <c r="U901" s="3"/>
      <c r="V901" s="6"/>
      <c r="W901" s="6"/>
      <c r="X901" s="3"/>
      <c r="Y901" s="6"/>
      <c r="Z901" s="3"/>
      <c r="AA901" s="6"/>
      <c r="AB901" s="6"/>
      <c r="AC901" s="3"/>
    </row>
    <row r="902" spans="1:29" ht="15.75" customHeight="1" x14ac:dyDescent="0.2">
      <c r="A902" s="2"/>
      <c r="B902" s="2"/>
      <c r="C902" s="2"/>
      <c r="D902" s="14"/>
      <c r="E902" s="6"/>
      <c r="F902" s="3"/>
      <c r="G902" s="6"/>
      <c r="H902" s="6"/>
      <c r="I902" s="3"/>
      <c r="J902" s="6"/>
      <c r="K902" s="3"/>
      <c r="L902" s="6"/>
      <c r="M902" s="6"/>
      <c r="N902" s="3"/>
      <c r="O902" s="6"/>
      <c r="P902" s="3"/>
      <c r="Q902" s="6"/>
      <c r="R902" s="6"/>
      <c r="S902" s="3"/>
      <c r="T902" s="6"/>
      <c r="U902" s="3"/>
      <c r="V902" s="6"/>
      <c r="W902" s="6"/>
      <c r="X902" s="3"/>
      <c r="Y902" s="6"/>
      <c r="Z902" s="3"/>
      <c r="AA902" s="6"/>
      <c r="AB902" s="6"/>
      <c r="AC902" s="3"/>
    </row>
    <row r="903" spans="1:29" ht="15.75" customHeight="1" x14ac:dyDescent="0.2">
      <c r="A903" s="2"/>
      <c r="B903" s="2"/>
      <c r="C903" s="2"/>
      <c r="D903" s="14"/>
      <c r="E903" s="6"/>
      <c r="F903" s="3"/>
      <c r="G903" s="6"/>
      <c r="H903" s="6"/>
      <c r="I903" s="3"/>
      <c r="J903" s="6"/>
      <c r="K903" s="3"/>
      <c r="L903" s="6"/>
      <c r="M903" s="6"/>
      <c r="N903" s="3"/>
      <c r="O903" s="6"/>
      <c r="P903" s="3"/>
      <c r="Q903" s="6"/>
      <c r="R903" s="6"/>
      <c r="S903" s="3"/>
      <c r="T903" s="6"/>
      <c r="U903" s="3"/>
      <c r="V903" s="6"/>
      <c r="W903" s="6"/>
      <c r="X903" s="3"/>
      <c r="Y903" s="6"/>
      <c r="Z903" s="3"/>
      <c r="AA903" s="6"/>
      <c r="AB903" s="6"/>
      <c r="AC903" s="3"/>
    </row>
    <row r="904" spans="1:29" ht="15.75" customHeight="1" x14ac:dyDescent="0.2">
      <c r="A904" s="2"/>
      <c r="B904" s="2"/>
      <c r="C904" s="2"/>
      <c r="D904" s="14"/>
      <c r="E904" s="6"/>
      <c r="F904" s="3"/>
      <c r="G904" s="6"/>
      <c r="H904" s="6"/>
      <c r="I904" s="3"/>
      <c r="J904" s="6"/>
      <c r="K904" s="3"/>
      <c r="L904" s="6"/>
      <c r="M904" s="6"/>
      <c r="N904" s="3"/>
      <c r="O904" s="6"/>
      <c r="P904" s="3"/>
      <c r="Q904" s="6"/>
      <c r="R904" s="6"/>
      <c r="S904" s="3"/>
      <c r="T904" s="6"/>
      <c r="U904" s="3"/>
      <c r="V904" s="6"/>
      <c r="W904" s="6"/>
      <c r="X904" s="3"/>
      <c r="Y904" s="6"/>
      <c r="Z904" s="3"/>
      <c r="AA904" s="6"/>
      <c r="AB904" s="6"/>
      <c r="AC904" s="3"/>
    </row>
    <row r="905" spans="1:29" ht="15.75" customHeight="1" x14ac:dyDescent="0.2">
      <c r="A905" s="2"/>
      <c r="B905" s="2"/>
      <c r="C905" s="2"/>
      <c r="D905" s="14"/>
      <c r="E905" s="6"/>
      <c r="F905" s="3"/>
      <c r="G905" s="6"/>
      <c r="H905" s="6"/>
      <c r="I905" s="3"/>
      <c r="J905" s="6"/>
      <c r="K905" s="3"/>
      <c r="L905" s="6"/>
      <c r="M905" s="6"/>
      <c r="N905" s="3"/>
      <c r="O905" s="6"/>
      <c r="P905" s="3"/>
      <c r="Q905" s="6"/>
      <c r="R905" s="6"/>
      <c r="S905" s="3"/>
      <c r="T905" s="6"/>
      <c r="U905" s="3"/>
      <c r="V905" s="6"/>
      <c r="W905" s="6"/>
      <c r="X905" s="3"/>
      <c r="Y905" s="6"/>
      <c r="Z905" s="3"/>
      <c r="AA905" s="6"/>
      <c r="AB905" s="6"/>
      <c r="AC905" s="3"/>
    </row>
    <row r="906" spans="1:29" ht="15.75" customHeight="1" x14ac:dyDescent="0.2">
      <c r="A906" s="2"/>
      <c r="B906" s="2"/>
      <c r="C906" s="2"/>
      <c r="D906" s="14"/>
      <c r="E906" s="6"/>
      <c r="F906" s="3"/>
      <c r="G906" s="6"/>
      <c r="H906" s="6"/>
      <c r="I906" s="3"/>
      <c r="J906" s="6"/>
      <c r="K906" s="3"/>
      <c r="L906" s="6"/>
      <c r="M906" s="6"/>
      <c r="N906" s="3"/>
      <c r="O906" s="6"/>
      <c r="P906" s="3"/>
      <c r="Q906" s="6"/>
      <c r="R906" s="6"/>
      <c r="S906" s="3"/>
      <c r="T906" s="6"/>
      <c r="U906" s="3"/>
      <c r="V906" s="6"/>
      <c r="W906" s="6"/>
      <c r="X906" s="3"/>
      <c r="Y906" s="6"/>
      <c r="Z906" s="3"/>
      <c r="AA906" s="6"/>
      <c r="AB906" s="6"/>
      <c r="AC906" s="3"/>
    </row>
    <row r="907" spans="1:29" ht="15.75" customHeight="1" x14ac:dyDescent="0.2">
      <c r="A907" s="2"/>
      <c r="B907" s="2"/>
      <c r="C907" s="2"/>
      <c r="D907" s="14"/>
      <c r="E907" s="6"/>
      <c r="F907" s="3"/>
      <c r="G907" s="6"/>
      <c r="H907" s="6"/>
      <c r="I907" s="3"/>
      <c r="J907" s="6"/>
      <c r="K907" s="3"/>
      <c r="L907" s="6"/>
      <c r="M907" s="6"/>
      <c r="N907" s="3"/>
      <c r="O907" s="6"/>
      <c r="P907" s="3"/>
      <c r="Q907" s="6"/>
      <c r="R907" s="6"/>
      <c r="S907" s="3"/>
      <c r="T907" s="6"/>
      <c r="U907" s="3"/>
      <c r="V907" s="6"/>
      <c r="W907" s="6"/>
      <c r="X907" s="3"/>
      <c r="Y907" s="6"/>
      <c r="Z907" s="3"/>
      <c r="AA907" s="6"/>
      <c r="AB907" s="6"/>
      <c r="AC907" s="3"/>
    </row>
    <row r="908" spans="1:29" ht="15.75" customHeight="1" x14ac:dyDescent="0.2">
      <c r="A908" s="2"/>
      <c r="B908" s="2"/>
      <c r="C908" s="2"/>
      <c r="D908" s="14"/>
      <c r="E908" s="6"/>
      <c r="F908" s="3"/>
      <c r="G908" s="6"/>
      <c r="H908" s="6"/>
      <c r="I908" s="3"/>
      <c r="J908" s="6"/>
      <c r="K908" s="3"/>
      <c r="L908" s="6"/>
      <c r="M908" s="6"/>
      <c r="N908" s="3"/>
      <c r="O908" s="6"/>
      <c r="P908" s="3"/>
      <c r="Q908" s="6"/>
      <c r="R908" s="6"/>
      <c r="S908" s="3"/>
      <c r="T908" s="6"/>
      <c r="U908" s="3"/>
      <c r="V908" s="6"/>
      <c r="W908" s="6"/>
      <c r="X908" s="3"/>
      <c r="Y908" s="6"/>
      <c r="Z908" s="3"/>
      <c r="AA908" s="6"/>
      <c r="AB908" s="6"/>
      <c r="AC908" s="3"/>
    </row>
    <row r="909" spans="1:29" ht="15.75" customHeight="1" x14ac:dyDescent="0.2">
      <c r="A909" s="2"/>
      <c r="B909" s="2"/>
      <c r="C909" s="2"/>
      <c r="D909" s="14"/>
      <c r="E909" s="6"/>
      <c r="F909" s="3"/>
      <c r="G909" s="6"/>
      <c r="H909" s="6"/>
      <c r="I909" s="3"/>
      <c r="J909" s="6"/>
      <c r="K909" s="3"/>
      <c r="L909" s="6"/>
      <c r="M909" s="6"/>
      <c r="N909" s="3"/>
      <c r="O909" s="6"/>
      <c r="P909" s="3"/>
      <c r="Q909" s="6"/>
      <c r="R909" s="6"/>
      <c r="S909" s="3"/>
      <c r="T909" s="6"/>
      <c r="U909" s="3"/>
      <c r="V909" s="6"/>
      <c r="W909" s="6"/>
      <c r="X909" s="3"/>
      <c r="Y909" s="6"/>
      <c r="Z909" s="3"/>
      <c r="AA909" s="6"/>
      <c r="AB909" s="6"/>
      <c r="AC909" s="3"/>
    </row>
    <row r="910" spans="1:29" ht="15.75" customHeight="1" x14ac:dyDescent="0.2">
      <c r="A910" s="2"/>
      <c r="B910" s="2"/>
      <c r="C910" s="2"/>
      <c r="D910" s="14"/>
      <c r="E910" s="6"/>
      <c r="F910" s="3"/>
      <c r="G910" s="6"/>
      <c r="H910" s="6"/>
      <c r="I910" s="3"/>
      <c r="J910" s="6"/>
      <c r="K910" s="3"/>
      <c r="L910" s="6"/>
      <c r="M910" s="6"/>
      <c r="N910" s="3"/>
      <c r="O910" s="6"/>
      <c r="P910" s="3"/>
      <c r="Q910" s="6"/>
      <c r="R910" s="6"/>
      <c r="S910" s="3"/>
      <c r="T910" s="6"/>
      <c r="U910" s="3"/>
      <c r="V910" s="6"/>
      <c r="W910" s="6"/>
      <c r="X910" s="3"/>
      <c r="Y910" s="6"/>
      <c r="Z910" s="3"/>
      <c r="AA910" s="6"/>
      <c r="AB910" s="6"/>
      <c r="AC910" s="3"/>
    </row>
    <row r="911" spans="1:29" ht="15.75" customHeight="1" x14ac:dyDescent="0.2">
      <c r="A911" s="2"/>
      <c r="B911" s="2"/>
      <c r="C911" s="2"/>
      <c r="D911" s="14"/>
      <c r="E911" s="6"/>
      <c r="F911" s="3"/>
      <c r="G911" s="6"/>
      <c r="H911" s="6"/>
      <c r="I911" s="3"/>
      <c r="J911" s="6"/>
      <c r="K911" s="3"/>
      <c r="L911" s="6"/>
      <c r="M911" s="6"/>
      <c r="N911" s="3"/>
      <c r="O911" s="6"/>
      <c r="P911" s="3"/>
      <c r="Q911" s="6"/>
      <c r="R911" s="6"/>
      <c r="S911" s="3"/>
      <c r="T911" s="6"/>
      <c r="U911" s="3"/>
      <c r="V911" s="6"/>
      <c r="W911" s="6"/>
      <c r="X911" s="3"/>
      <c r="Y911" s="6"/>
      <c r="Z911" s="3"/>
      <c r="AA911" s="6"/>
      <c r="AB911" s="6"/>
      <c r="AC911" s="3"/>
    </row>
    <row r="912" spans="1:29" ht="15.75" customHeight="1" x14ac:dyDescent="0.2">
      <c r="A912" s="2"/>
      <c r="B912" s="2"/>
      <c r="C912" s="2"/>
      <c r="D912" s="14"/>
      <c r="E912" s="6"/>
      <c r="F912" s="3"/>
      <c r="G912" s="6"/>
      <c r="H912" s="6"/>
      <c r="I912" s="3"/>
      <c r="J912" s="6"/>
      <c r="K912" s="3"/>
      <c r="L912" s="6"/>
      <c r="M912" s="6"/>
      <c r="N912" s="3"/>
      <c r="O912" s="6"/>
      <c r="P912" s="3"/>
      <c r="Q912" s="6"/>
      <c r="R912" s="6"/>
      <c r="S912" s="3"/>
      <c r="T912" s="6"/>
      <c r="U912" s="3"/>
      <c r="V912" s="6"/>
      <c r="W912" s="6"/>
      <c r="X912" s="3"/>
      <c r="Y912" s="6"/>
      <c r="Z912" s="3"/>
      <c r="AA912" s="6"/>
      <c r="AB912" s="6"/>
      <c r="AC912" s="3"/>
    </row>
    <row r="913" spans="1:29" ht="15.75" customHeight="1" x14ac:dyDescent="0.2">
      <c r="A913" s="2"/>
      <c r="B913" s="2"/>
      <c r="C913" s="2"/>
      <c r="D913" s="14"/>
      <c r="E913" s="6"/>
      <c r="F913" s="3"/>
      <c r="G913" s="6"/>
      <c r="H913" s="6"/>
      <c r="I913" s="3"/>
      <c r="J913" s="6"/>
      <c r="K913" s="3"/>
      <c r="L913" s="6"/>
      <c r="M913" s="6"/>
      <c r="N913" s="3"/>
      <c r="O913" s="6"/>
      <c r="P913" s="3"/>
      <c r="Q913" s="6"/>
      <c r="R913" s="6"/>
      <c r="S913" s="3"/>
      <c r="T913" s="6"/>
      <c r="U913" s="3"/>
      <c r="V913" s="6"/>
      <c r="W913" s="6"/>
      <c r="X913" s="3"/>
      <c r="Y913" s="6"/>
      <c r="Z913" s="3"/>
      <c r="AA913" s="6"/>
      <c r="AB913" s="6"/>
      <c r="AC913" s="3"/>
    </row>
    <row r="914" spans="1:29" ht="15.75" customHeight="1" x14ac:dyDescent="0.2">
      <c r="A914" s="2"/>
      <c r="B914" s="2"/>
      <c r="C914" s="2"/>
      <c r="D914" s="14"/>
      <c r="E914" s="6"/>
      <c r="F914" s="3"/>
      <c r="G914" s="6"/>
      <c r="H914" s="6"/>
      <c r="I914" s="3"/>
      <c r="J914" s="6"/>
      <c r="K914" s="3"/>
      <c r="L914" s="6"/>
      <c r="M914" s="6"/>
      <c r="N914" s="3"/>
      <c r="O914" s="6"/>
      <c r="P914" s="3"/>
      <c r="Q914" s="6"/>
      <c r="R914" s="6"/>
      <c r="S914" s="3"/>
      <c r="T914" s="6"/>
      <c r="U914" s="3"/>
      <c r="V914" s="6"/>
      <c r="W914" s="6"/>
      <c r="X914" s="3"/>
      <c r="Y914" s="6"/>
      <c r="Z914" s="3"/>
      <c r="AA914" s="6"/>
      <c r="AB914" s="6"/>
      <c r="AC914" s="3"/>
    </row>
    <row r="915" spans="1:29" ht="15.75" customHeight="1" x14ac:dyDescent="0.2">
      <c r="A915" s="2"/>
      <c r="B915" s="2"/>
      <c r="C915" s="2"/>
      <c r="D915" s="14"/>
      <c r="E915" s="6"/>
      <c r="F915" s="3"/>
      <c r="G915" s="6"/>
      <c r="H915" s="6"/>
      <c r="I915" s="3"/>
      <c r="J915" s="6"/>
      <c r="K915" s="3"/>
      <c r="L915" s="6"/>
      <c r="M915" s="6"/>
      <c r="N915" s="3"/>
      <c r="O915" s="6"/>
      <c r="P915" s="3"/>
      <c r="Q915" s="6"/>
      <c r="R915" s="6"/>
      <c r="S915" s="3"/>
      <c r="T915" s="6"/>
      <c r="U915" s="3"/>
      <c r="V915" s="6"/>
      <c r="W915" s="6"/>
      <c r="X915" s="3"/>
      <c r="Y915" s="6"/>
      <c r="Z915" s="3"/>
      <c r="AA915" s="6"/>
      <c r="AB915" s="6"/>
      <c r="AC915" s="3"/>
    </row>
    <row r="916" spans="1:29" ht="15.75" customHeight="1" x14ac:dyDescent="0.2">
      <c r="A916" s="2"/>
      <c r="B916" s="2"/>
      <c r="C916" s="2"/>
      <c r="D916" s="14"/>
      <c r="E916" s="6"/>
      <c r="F916" s="3"/>
      <c r="G916" s="6"/>
      <c r="H916" s="6"/>
      <c r="I916" s="3"/>
      <c r="J916" s="6"/>
      <c r="K916" s="3"/>
      <c r="L916" s="6"/>
      <c r="M916" s="6"/>
      <c r="N916" s="3"/>
      <c r="O916" s="6"/>
      <c r="P916" s="3"/>
      <c r="Q916" s="6"/>
      <c r="R916" s="6"/>
      <c r="S916" s="3"/>
      <c r="T916" s="6"/>
      <c r="U916" s="3"/>
      <c r="V916" s="6"/>
      <c r="W916" s="6"/>
      <c r="X916" s="3"/>
      <c r="Y916" s="6"/>
      <c r="Z916" s="3"/>
      <c r="AA916" s="6"/>
      <c r="AB916" s="6"/>
      <c r="AC916" s="3"/>
    </row>
    <row r="917" spans="1:29" ht="15.75" customHeight="1" x14ac:dyDescent="0.2">
      <c r="A917" s="2"/>
      <c r="B917" s="2"/>
      <c r="C917" s="2"/>
      <c r="D917" s="14"/>
      <c r="E917" s="6"/>
      <c r="F917" s="3"/>
      <c r="G917" s="6"/>
      <c r="H917" s="6"/>
      <c r="I917" s="3"/>
      <c r="J917" s="6"/>
      <c r="K917" s="3"/>
      <c r="L917" s="6"/>
      <c r="M917" s="6"/>
      <c r="N917" s="3"/>
      <c r="O917" s="6"/>
      <c r="P917" s="3"/>
      <c r="Q917" s="6"/>
      <c r="R917" s="6"/>
      <c r="S917" s="3"/>
      <c r="T917" s="6"/>
      <c r="U917" s="3"/>
      <c r="V917" s="6"/>
      <c r="W917" s="6"/>
      <c r="X917" s="3"/>
      <c r="Y917" s="6"/>
      <c r="Z917" s="3"/>
      <c r="AA917" s="6"/>
      <c r="AB917" s="6"/>
      <c r="AC917" s="3"/>
    </row>
    <row r="918" spans="1:29" ht="15.75" customHeight="1" x14ac:dyDescent="0.2">
      <c r="A918" s="2"/>
      <c r="B918" s="2"/>
      <c r="C918" s="2"/>
      <c r="D918" s="14"/>
      <c r="E918" s="6"/>
      <c r="F918" s="3"/>
      <c r="G918" s="6"/>
      <c r="H918" s="6"/>
      <c r="I918" s="3"/>
      <c r="J918" s="6"/>
      <c r="K918" s="3"/>
      <c r="L918" s="6"/>
      <c r="M918" s="6"/>
      <c r="N918" s="3"/>
      <c r="O918" s="6"/>
      <c r="P918" s="3"/>
      <c r="Q918" s="6"/>
      <c r="R918" s="6"/>
      <c r="S918" s="3"/>
      <c r="T918" s="6"/>
      <c r="U918" s="3"/>
      <c r="V918" s="6"/>
      <c r="W918" s="6"/>
      <c r="X918" s="3"/>
      <c r="Y918" s="6"/>
      <c r="Z918" s="3"/>
      <c r="AA918" s="6"/>
      <c r="AB918" s="6"/>
      <c r="AC918" s="3"/>
    </row>
    <row r="919" spans="1:29" ht="15.75" customHeight="1" x14ac:dyDescent="0.2">
      <c r="A919" s="2"/>
      <c r="B919" s="2"/>
      <c r="C919" s="2"/>
      <c r="D919" s="14"/>
      <c r="E919" s="6"/>
      <c r="F919" s="3"/>
      <c r="G919" s="6"/>
      <c r="H919" s="6"/>
      <c r="I919" s="3"/>
      <c r="J919" s="6"/>
      <c r="K919" s="3"/>
      <c r="L919" s="6"/>
      <c r="M919" s="6"/>
      <c r="N919" s="3"/>
      <c r="O919" s="6"/>
      <c r="P919" s="3"/>
      <c r="Q919" s="6"/>
      <c r="R919" s="6"/>
      <c r="S919" s="3"/>
      <c r="T919" s="6"/>
      <c r="U919" s="3"/>
      <c r="V919" s="6"/>
      <c r="W919" s="6"/>
      <c r="X919" s="3"/>
      <c r="Y919" s="6"/>
      <c r="Z919" s="3"/>
      <c r="AA919" s="6"/>
      <c r="AB919" s="6"/>
      <c r="AC919" s="3"/>
    </row>
    <row r="920" spans="1:29" ht="15.75" customHeight="1" x14ac:dyDescent="0.2">
      <c r="A920" s="2"/>
      <c r="B920" s="2"/>
      <c r="C920" s="2"/>
      <c r="D920" s="14"/>
      <c r="E920" s="6"/>
      <c r="F920" s="3"/>
      <c r="G920" s="6"/>
      <c r="H920" s="6"/>
      <c r="I920" s="3"/>
      <c r="J920" s="6"/>
      <c r="K920" s="3"/>
      <c r="L920" s="6"/>
      <c r="M920" s="6"/>
      <c r="N920" s="3"/>
      <c r="O920" s="6"/>
      <c r="P920" s="3"/>
      <c r="Q920" s="6"/>
      <c r="R920" s="6"/>
      <c r="S920" s="3"/>
      <c r="T920" s="6"/>
      <c r="U920" s="3"/>
      <c r="V920" s="6"/>
      <c r="W920" s="6"/>
      <c r="X920" s="3"/>
      <c r="Y920" s="6"/>
      <c r="Z920" s="3"/>
      <c r="AA920" s="6"/>
      <c r="AB920" s="6"/>
      <c r="AC920" s="3"/>
    </row>
    <row r="921" spans="1:29" ht="15.75" customHeight="1" x14ac:dyDescent="0.2">
      <c r="A921" s="2"/>
      <c r="B921" s="2"/>
      <c r="C921" s="2"/>
      <c r="D921" s="14"/>
      <c r="E921" s="6"/>
      <c r="F921" s="3"/>
      <c r="G921" s="6"/>
      <c r="H921" s="6"/>
      <c r="I921" s="3"/>
      <c r="J921" s="6"/>
      <c r="K921" s="3"/>
      <c r="L921" s="6"/>
      <c r="M921" s="6"/>
      <c r="N921" s="3"/>
      <c r="O921" s="6"/>
      <c r="P921" s="3"/>
      <c r="Q921" s="6"/>
      <c r="R921" s="6"/>
      <c r="S921" s="3"/>
      <c r="T921" s="6"/>
      <c r="U921" s="3"/>
      <c r="V921" s="6"/>
      <c r="W921" s="6"/>
      <c r="X921" s="3"/>
      <c r="Y921" s="6"/>
      <c r="Z921" s="3"/>
      <c r="AA921" s="6"/>
      <c r="AB921" s="6"/>
      <c r="AC921" s="3"/>
    </row>
    <row r="922" spans="1:29" ht="15.75" customHeight="1" x14ac:dyDescent="0.2">
      <c r="A922" s="2"/>
      <c r="B922" s="2"/>
      <c r="C922" s="2"/>
      <c r="D922" s="14"/>
      <c r="E922" s="6"/>
      <c r="F922" s="3"/>
      <c r="G922" s="6"/>
      <c r="H922" s="6"/>
      <c r="I922" s="3"/>
      <c r="J922" s="6"/>
      <c r="K922" s="3"/>
      <c r="L922" s="6"/>
      <c r="M922" s="6"/>
      <c r="N922" s="3"/>
      <c r="O922" s="6"/>
      <c r="P922" s="3"/>
      <c r="Q922" s="6"/>
      <c r="R922" s="6"/>
      <c r="S922" s="3"/>
      <c r="T922" s="6"/>
      <c r="U922" s="3"/>
      <c r="V922" s="6"/>
      <c r="W922" s="6"/>
      <c r="X922" s="3"/>
      <c r="Y922" s="6"/>
      <c r="Z922" s="3"/>
      <c r="AA922" s="6"/>
      <c r="AB922" s="6"/>
      <c r="AC922" s="3"/>
    </row>
    <row r="923" spans="1:29" ht="15.75" customHeight="1" x14ac:dyDescent="0.2">
      <c r="A923" s="2"/>
      <c r="B923" s="2"/>
      <c r="C923" s="2"/>
      <c r="D923" s="14"/>
      <c r="E923" s="6"/>
      <c r="F923" s="3"/>
      <c r="G923" s="6"/>
      <c r="H923" s="6"/>
      <c r="I923" s="3"/>
      <c r="J923" s="6"/>
      <c r="K923" s="3"/>
      <c r="L923" s="6"/>
      <c r="M923" s="6"/>
      <c r="N923" s="3"/>
      <c r="O923" s="6"/>
      <c r="P923" s="3"/>
      <c r="Q923" s="6"/>
      <c r="R923" s="6"/>
      <c r="S923" s="3"/>
      <c r="T923" s="6"/>
      <c r="U923" s="3"/>
      <c r="V923" s="6"/>
      <c r="W923" s="6"/>
      <c r="X923" s="3"/>
      <c r="Y923" s="6"/>
      <c r="Z923" s="3"/>
      <c r="AA923" s="6"/>
      <c r="AB923" s="6"/>
      <c r="AC923" s="3"/>
    </row>
    <row r="924" spans="1:29" ht="15.75" customHeight="1" x14ac:dyDescent="0.2">
      <c r="A924" s="2"/>
      <c r="B924" s="2"/>
      <c r="C924" s="2"/>
      <c r="D924" s="14"/>
      <c r="E924" s="6"/>
      <c r="F924" s="3"/>
      <c r="G924" s="6"/>
      <c r="H924" s="6"/>
      <c r="I924" s="3"/>
      <c r="J924" s="6"/>
      <c r="K924" s="3"/>
      <c r="L924" s="6"/>
      <c r="M924" s="6"/>
      <c r="N924" s="3"/>
      <c r="O924" s="6"/>
      <c r="P924" s="3"/>
      <c r="Q924" s="6"/>
      <c r="R924" s="6"/>
      <c r="S924" s="3"/>
      <c r="T924" s="6"/>
      <c r="U924" s="3"/>
      <c r="V924" s="6"/>
      <c r="W924" s="6"/>
      <c r="X924" s="3"/>
      <c r="Y924" s="6"/>
      <c r="Z924" s="3"/>
      <c r="AA924" s="6"/>
      <c r="AB924" s="6"/>
      <c r="AC924" s="3"/>
    </row>
    <row r="925" spans="1:29" ht="15.75" customHeight="1" x14ac:dyDescent="0.2">
      <c r="A925" s="2"/>
      <c r="B925" s="2"/>
      <c r="C925" s="2"/>
      <c r="D925" s="14"/>
      <c r="E925" s="6"/>
      <c r="F925" s="3"/>
      <c r="G925" s="6"/>
      <c r="H925" s="6"/>
      <c r="I925" s="3"/>
      <c r="J925" s="6"/>
      <c r="K925" s="3"/>
      <c r="L925" s="6"/>
      <c r="M925" s="6"/>
      <c r="N925" s="3"/>
      <c r="O925" s="6"/>
      <c r="P925" s="3"/>
      <c r="Q925" s="6"/>
      <c r="R925" s="6"/>
      <c r="S925" s="3"/>
      <c r="T925" s="6"/>
      <c r="U925" s="3"/>
      <c r="V925" s="6"/>
      <c r="W925" s="6"/>
      <c r="X925" s="3"/>
      <c r="Y925" s="6"/>
      <c r="Z925" s="3"/>
      <c r="AA925" s="6"/>
      <c r="AB925" s="6"/>
      <c r="AC925" s="3"/>
    </row>
    <row r="926" spans="1:29" ht="15.75" customHeight="1" x14ac:dyDescent="0.2">
      <c r="A926" s="2"/>
      <c r="B926" s="2"/>
      <c r="C926" s="2"/>
      <c r="D926" s="14"/>
      <c r="E926" s="6"/>
      <c r="F926" s="3"/>
      <c r="G926" s="6"/>
      <c r="H926" s="6"/>
      <c r="I926" s="3"/>
      <c r="J926" s="6"/>
      <c r="K926" s="3"/>
      <c r="L926" s="6"/>
      <c r="M926" s="6"/>
      <c r="N926" s="3"/>
      <c r="O926" s="6"/>
      <c r="P926" s="3"/>
      <c r="Q926" s="6"/>
      <c r="R926" s="6"/>
      <c r="S926" s="3"/>
      <c r="T926" s="6"/>
      <c r="U926" s="3"/>
      <c r="V926" s="6"/>
      <c r="W926" s="6"/>
      <c r="X926" s="3"/>
      <c r="Y926" s="6"/>
      <c r="Z926" s="3"/>
      <c r="AA926" s="6"/>
      <c r="AB926" s="6"/>
      <c r="AC926" s="3"/>
    </row>
    <row r="927" spans="1:29" ht="15.75" customHeight="1" x14ac:dyDescent="0.2">
      <c r="A927" s="2"/>
      <c r="B927" s="2"/>
      <c r="C927" s="2"/>
      <c r="D927" s="14"/>
      <c r="E927" s="6"/>
      <c r="F927" s="3"/>
      <c r="G927" s="6"/>
      <c r="H927" s="6"/>
      <c r="I927" s="3"/>
      <c r="J927" s="6"/>
      <c r="K927" s="3"/>
      <c r="L927" s="6"/>
      <c r="M927" s="6"/>
      <c r="N927" s="3"/>
      <c r="O927" s="6"/>
      <c r="P927" s="3"/>
      <c r="Q927" s="6"/>
      <c r="R927" s="6"/>
      <c r="S927" s="3"/>
      <c r="T927" s="6"/>
      <c r="U927" s="3"/>
      <c r="V927" s="6"/>
      <c r="W927" s="6"/>
      <c r="X927" s="3"/>
      <c r="Y927" s="6"/>
      <c r="Z927" s="3"/>
      <c r="AA927" s="6"/>
      <c r="AB927" s="6"/>
      <c r="AC927" s="3"/>
    </row>
    <row r="928" spans="1:29" ht="15.75" customHeight="1" x14ac:dyDescent="0.2">
      <c r="A928" s="2"/>
      <c r="B928" s="2"/>
      <c r="C928" s="2"/>
      <c r="D928" s="14"/>
      <c r="E928" s="6"/>
      <c r="F928" s="3"/>
      <c r="G928" s="6"/>
      <c r="H928" s="6"/>
      <c r="I928" s="3"/>
      <c r="J928" s="6"/>
      <c r="K928" s="3"/>
      <c r="L928" s="6"/>
      <c r="M928" s="6"/>
      <c r="N928" s="3"/>
      <c r="O928" s="6"/>
      <c r="P928" s="3"/>
      <c r="Q928" s="6"/>
      <c r="R928" s="6"/>
      <c r="S928" s="3"/>
      <c r="T928" s="6"/>
      <c r="U928" s="3"/>
      <c r="V928" s="6"/>
      <c r="W928" s="6"/>
      <c r="X928" s="3"/>
      <c r="Y928" s="6"/>
      <c r="Z928" s="3"/>
      <c r="AA928" s="6"/>
      <c r="AB928" s="6"/>
      <c r="AC928" s="3"/>
    </row>
    <row r="929" spans="1:29" ht="15.75" customHeight="1" x14ac:dyDescent="0.2">
      <c r="A929" s="2"/>
      <c r="B929" s="2"/>
      <c r="C929" s="2"/>
      <c r="D929" s="14"/>
      <c r="E929" s="6"/>
      <c r="F929" s="3"/>
      <c r="G929" s="6"/>
      <c r="H929" s="6"/>
      <c r="I929" s="3"/>
      <c r="J929" s="6"/>
      <c r="K929" s="3"/>
      <c r="L929" s="6"/>
      <c r="M929" s="6"/>
      <c r="N929" s="3"/>
      <c r="O929" s="6"/>
      <c r="P929" s="3"/>
      <c r="Q929" s="6"/>
      <c r="R929" s="6"/>
      <c r="S929" s="3"/>
      <c r="T929" s="6"/>
      <c r="U929" s="3"/>
      <c r="V929" s="6"/>
      <c r="W929" s="6"/>
      <c r="X929" s="3"/>
      <c r="Y929" s="6"/>
      <c r="Z929" s="3"/>
      <c r="AA929" s="6"/>
      <c r="AB929" s="6"/>
      <c r="AC929" s="3"/>
    </row>
    <row r="930" spans="1:29" ht="15.75" customHeight="1" x14ac:dyDescent="0.2">
      <c r="A930" s="2"/>
      <c r="B930" s="2"/>
      <c r="C930" s="2"/>
      <c r="D930" s="14"/>
      <c r="E930" s="6"/>
      <c r="F930" s="3"/>
      <c r="G930" s="6"/>
      <c r="H930" s="6"/>
      <c r="I930" s="3"/>
      <c r="J930" s="6"/>
      <c r="K930" s="3"/>
      <c r="L930" s="6"/>
      <c r="M930" s="6"/>
      <c r="N930" s="3"/>
      <c r="O930" s="6"/>
      <c r="P930" s="3"/>
      <c r="Q930" s="6"/>
      <c r="R930" s="6"/>
      <c r="S930" s="3"/>
      <c r="T930" s="6"/>
      <c r="U930" s="3"/>
      <c r="V930" s="6"/>
      <c r="W930" s="6"/>
      <c r="X930" s="3"/>
      <c r="Y930" s="6"/>
      <c r="Z930" s="3"/>
      <c r="AA930" s="6"/>
      <c r="AB930" s="6"/>
      <c r="AC930" s="3"/>
    </row>
    <row r="931" spans="1:29" ht="15.75" customHeight="1" x14ac:dyDescent="0.2">
      <c r="A931" s="2"/>
      <c r="B931" s="2"/>
      <c r="C931" s="2"/>
      <c r="D931" s="14"/>
      <c r="E931" s="6"/>
      <c r="F931" s="3"/>
      <c r="G931" s="6"/>
      <c r="H931" s="6"/>
      <c r="I931" s="3"/>
      <c r="J931" s="6"/>
      <c r="K931" s="3"/>
      <c r="L931" s="6"/>
      <c r="M931" s="6"/>
      <c r="N931" s="3"/>
      <c r="O931" s="6"/>
      <c r="P931" s="3"/>
      <c r="Q931" s="6"/>
      <c r="R931" s="6"/>
      <c r="S931" s="3"/>
      <c r="T931" s="6"/>
      <c r="U931" s="3"/>
      <c r="V931" s="6"/>
      <c r="W931" s="6"/>
      <c r="X931" s="3"/>
      <c r="Y931" s="6"/>
      <c r="Z931" s="3"/>
      <c r="AA931" s="6"/>
      <c r="AB931" s="6"/>
      <c r="AC931" s="3"/>
    </row>
    <row r="932" spans="1:29" ht="15.75" customHeight="1" x14ac:dyDescent="0.2">
      <c r="A932" s="2"/>
      <c r="B932" s="2"/>
      <c r="C932" s="2"/>
      <c r="D932" s="14"/>
      <c r="E932" s="6"/>
      <c r="F932" s="3"/>
      <c r="G932" s="6"/>
      <c r="H932" s="6"/>
      <c r="I932" s="3"/>
      <c r="J932" s="6"/>
      <c r="K932" s="3"/>
      <c r="L932" s="6"/>
      <c r="M932" s="6"/>
      <c r="N932" s="3"/>
      <c r="O932" s="6"/>
      <c r="P932" s="3"/>
      <c r="Q932" s="6"/>
      <c r="R932" s="6"/>
      <c r="S932" s="3"/>
      <c r="T932" s="6"/>
      <c r="U932" s="3"/>
      <c r="V932" s="6"/>
      <c r="W932" s="6"/>
      <c r="X932" s="3"/>
      <c r="Y932" s="6"/>
      <c r="Z932" s="3"/>
      <c r="AA932" s="6"/>
      <c r="AB932" s="6"/>
      <c r="AC932" s="3"/>
    </row>
    <row r="933" spans="1:29" ht="15.75" customHeight="1" x14ac:dyDescent="0.2">
      <c r="A933" s="2"/>
      <c r="B933" s="2"/>
      <c r="C933" s="2"/>
      <c r="D933" s="14"/>
      <c r="E933" s="6"/>
      <c r="F933" s="3"/>
      <c r="G933" s="6"/>
      <c r="H933" s="6"/>
      <c r="I933" s="3"/>
      <c r="J933" s="6"/>
      <c r="K933" s="3"/>
      <c r="L933" s="6"/>
      <c r="M933" s="6"/>
      <c r="N933" s="3"/>
      <c r="O933" s="6"/>
      <c r="P933" s="3"/>
      <c r="Q933" s="6"/>
      <c r="R933" s="6"/>
      <c r="S933" s="3"/>
      <c r="T933" s="6"/>
      <c r="U933" s="3"/>
      <c r="V933" s="6"/>
      <c r="W933" s="6"/>
      <c r="X933" s="3"/>
      <c r="Y933" s="6"/>
      <c r="Z933" s="3"/>
      <c r="AA933" s="6"/>
      <c r="AB933" s="6"/>
      <c r="AC933" s="3"/>
    </row>
    <row r="934" spans="1:29" ht="15.75" customHeight="1" x14ac:dyDescent="0.2">
      <c r="A934" s="2"/>
      <c r="B934" s="2"/>
      <c r="C934" s="2"/>
      <c r="D934" s="14"/>
      <c r="E934" s="6"/>
      <c r="F934" s="3"/>
      <c r="G934" s="6"/>
      <c r="H934" s="6"/>
      <c r="I934" s="3"/>
      <c r="J934" s="6"/>
      <c r="K934" s="3"/>
      <c r="L934" s="6"/>
      <c r="M934" s="6"/>
      <c r="N934" s="3"/>
      <c r="O934" s="6"/>
      <c r="P934" s="3"/>
      <c r="Q934" s="6"/>
      <c r="R934" s="6"/>
      <c r="S934" s="3"/>
      <c r="T934" s="6"/>
      <c r="U934" s="3"/>
      <c r="V934" s="6"/>
      <c r="W934" s="6"/>
      <c r="X934" s="3"/>
      <c r="Y934" s="6"/>
      <c r="Z934" s="3"/>
      <c r="AA934" s="6"/>
      <c r="AB934" s="6"/>
      <c r="AC934" s="3"/>
    </row>
    <row r="935" spans="1:29" ht="15.75" customHeight="1" x14ac:dyDescent="0.2">
      <c r="A935" s="2"/>
      <c r="B935" s="2"/>
      <c r="C935" s="2"/>
      <c r="D935" s="14"/>
      <c r="E935" s="6"/>
      <c r="F935" s="3"/>
      <c r="G935" s="6"/>
      <c r="H935" s="6"/>
      <c r="I935" s="3"/>
      <c r="J935" s="6"/>
      <c r="K935" s="3"/>
      <c r="L935" s="6"/>
      <c r="M935" s="6"/>
      <c r="N935" s="3"/>
      <c r="O935" s="6"/>
      <c r="P935" s="3"/>
      <c r="Q935" s="6"/>
      <c r="R935" s="6"/>
      <c r="S935" s="3"/>
      <c r="T935" s="6"/>
      <c r="U935" s="3"/>
      <c r="V935" s="6"/>
      <c r="W935" s="6"/>
      <c r="X935" s="3"/>
      <c r="Y935" s="6"/>
      <c r="Z935" s="3"/>
      <c r="AA935" s="6"/>
      <c r="AB935" s="6"/>
      <c r="AC935" s="3"/>
    </row>
    <row r="936" spans="1:29" ht="15.75" customHeight="1" x14ac:dyDescent="0.2">
      <c r="A936" s="2"/>
      <c r="B936" s="2"/>
      <c r="C936" s="2"/>
      <c r="D936" s="14"/>
      <c r="E936" s="6"/>
      <c r="F936" s="3"/>
      <c r="G936" s="6"/>
      <c r="H936" s="6"/>
      <c r="I936" s="3"/>
      <c r="J936" s="6"/>
      <c r="K936" s="3"/>
      <c r="L936" s="6"/>
      <c r="M936" s="6"/>
      <c r="N936" s="3"/>
      <c r="O936" s="6"/>
      <c r="P936" s="3"/>
      <c r="Q936" s="6"/>
      <c r="R936" s="6"/>
      <c r="S936" s="3"/>
      <c r="T936" s="6"/>
      <c r="U936" s="3"/>
      <c r="V936" s="6"/>
      <c r="W936" s="6"/>
      <c r="X936" s="3"/>
      <c r="Y936" s="6"/>
      <c r="Z936" s="3"/>
      <c r="AA936" s="6"/>
      <c r="AB936" s="6"/>
      <c r="AC936" s="3"/>
    </row>
    <row r="937" spans="1:29" ht="15.75" customHeight="1" x14ac:dyDescent="0.2">
      <c r="A937" s="2"/>
      <c r="B937" s="2"/>
      <c r="C937" s="2"/>
      <c r="D937" s="14"/>
      <c r="E937" s="6"/>
      <c r="F937" s="3"/>
      <c r="G937" s="6"/>
      <c r="H937" s="6"/>
      <c r="I937" s="3"/>
      <c r="J937" s="6"/>
      <c r="K937" s="3"/>
      <c r="L937" s="6"/>
      <c r="M937" s="6"/>
      <c r="N937" s="3"/>
      <c r="O937" s="6"/>
      <c r="P937" s="3"/>
      <c r="Q937" s="6"/>
      <c r="R937" s="6"/>
      <c r="S937" s="3"/>
      <c r="T937" s="6"/>
      <c r="U937" s="3"/>
      <c r="V937" s="6"/>
      <c r="W937" s="6"/>
      <c r="X937" s="3"/>
      <c r="Y937" s="6"/>
      <c r="Z937" s="3"/>
      <c r="AA937" s="6"/>
      <c r="AB937" s="6"/>
      <c r="AC937" s="3"/>
    </row>
    <row r="938" spans="1:29" ht="15.75" customHeight="1" x14ac:dyDescent="0.2">
      <c r="A938" s="2"/>
      <c r="B938" s="2"/>
      <c r="C938" s="2"/>
      <c r="D938" s="14"/>
      <c r="E938" s="6"/>
      <c r="F938" s="3"/>
      <c r="G938" s="6"/>
      <c r="H938" s="6"/>
      <c r="I938" s="3"/>
      <c r="J938" s="6"/>
      <c r="K938" s="3"/>
      <c r="L938" s="6"/>
      <c r="M938" s="6"/>
      <c r="N938" s="3"/>
      <c r="O938" s="6"/>
      <c r="P938" s="3"/>
      <c r="Q938" s="6"/>
      <c r="R938" s="6"/>
      <c r="S938" s="3"/>
      <c r="T938" s="6"/>
      <c r="U938" s="3"/>
      <c r="V938" s="6"/>
      <c r="W938" s="6"/>
      <c r="X938" s="3"/>
      <c r="Y938" s="6"/>
      <c r="Z938" s="3"/>
      <c r="AA938" s="6"/>
      <c r="AB938" s="6"/>
      <c r="AC938" s="3"/>
    </row>
    <row r="939" spans="1:29" ht="15.75" customHeight="1" x14ac:dyDescent="0.2">
      <c r="A939" s="2"/>
      <c r="B939" s="2"/>
      <c r="C939" s="2"/>
      <c r="D939" s="14"/>
      <c r="E939" s="6"/>
      <c r="F939" s="3"/>
      <c r="G939" s="6"/>
      <c r="H939" s="6"/>
      <c r="I939" s="3"/>
      <c r="J939" s="6"/>
      <c r="K939" s="3"/>
      <c r="L939" s="6"/>
      <c r="M939" s="6"/>
      <c r="N939" s="3"/>
      <c r="O939" s="6"/>
      <c r="P939" s="3"/>
      <c r="Q939" s="6"/>
      <c r="R939" s="6"/>
      <c r="S939" s="3"/>
      <c r="T939" s="6"/>
      <c r="U939" s="3"/>
      <c r="V939" s="6"/>
      <c r="W939" s="6"/>
      <c r="X939" s="3"/>
      <c r="Y939" s="6"/>
      <c r="Z939" s="3"/>
      <c r="AA939" s="6"/>
      <c r="AB939" s="6"/>
      <c r="AC939" s="3"/>
    </row>
    <row r="940" spans="1:29" ht="15.75" customHeight="1" x14ac:dyDescent="0.2">
      <c r="A940" s="2"/>
      <c r="B940" s="2"/>
      <c r="C940" s="2"/>
      <c r="D940" s="14"/>
      <c r="E940" s="6"/>
      <c r="F940" s="3"/>
      <c r="G940" s="6"/>
      <c r="H940" s="6"/>
      <c r="I940" s="3"/>
      <c r="J940" s="6"/>
      <c r="K940" s="3"/>
      <c r="L940" s="6"/>
      <c r="M940" s="6"/>
      <c r="N940" s="3"/>
      <c r="O940" s="6"/>
      <c r="P940" s="3"/>
      <c r="Q940" s="6"/>
      <c r="R940" s="6"/>
      <c r="S940" s="3"/>
      <c r="T940" s="6"/>
      <c r="U940" s="3"/>
      <c r="V940" s="6"/>
      <c r="W940" s="6"/>
      <c r="X940" s="3"/>
      <c r="Y940" s="6"/>
      <c r="Z940" s="3"/>
      <c r="AA940" s="6"/>
      <c r="AB940" s="6"/>
      <c r="AC940" s="3"/>
    </row>
    <row r="941" spans="1:29" ht="15.75" customHeight="1" x14ac:dyDescent="0.2">
      <c r="A941" s="2"/>
      <c r="B941" s="2"/>
      <c r="C941" s="2"/>
      <c r="D941" s="14"/>
      <c r="E941" s="6"/>
      <c r="F941" s="3"/>
      <c r="G941" s="6"/>
      <c r="H941" s="6"/>
      <c r="I941" s="3"/>
      <c r="J941" s="6"/>
      <c r="K941" s="3"/>
      <c r="L941" s="6"/>
      <c r="M941" s="6"/>
      <c r="N941" s="3"/>
      <c r="O941" s="6"/>
      <c r="P941" s="3"/>
      <c r="Q941" s="6"/>
      <c r="R941" s="6"/>
      <c r="S941" s="3"/>
      <c r="T941" s="6"/>
      <c r="U941" s="3"/>
      <c r="V941" s="6"/>
      <c r="W941" s="6"/>
      <c r="X941" s="3"/>
      <c r="Y941" s="6"/>
      <c r="Z941" s="3"/>
      <c r="AA941" s="6"/>
      <c r="AB941" s="6"/>
      <c r="AC941" s="3"/>
    </row>
    <row r="942" spans="1:29" ht="15.75" customHeight="1" x14ac:dyDescent="0.2">
      <c r="A942" s="2"/>
      <c r="B942" s="2"/>
      <c r="C942" s="2"/>
      <c r="D942" s="14"/>
      <c r="E942" s="6"/>
      <c r="F942" s="3"/>
      <c r="G942" s="6"/>
      <c r="H942" s="6"/>
      <c r="I942" s="3"/>
      <c r="J942" s="6"/>
      <c r="K942" s="3"/>
      <c r="L942" s="6"/>
      <c r="M942" s="6"/>
      <c r="N942" s="3"/>
      <c r="O942" s="6"/>
      <c r="P942" s="3"/>
      <c r="Q942" s="6"/>
      <c r="R942" s="6"/>
      <c r="S942" s="3"/>
      <c r="T942" s="6"/>
      <c r="U942" s="3"/>
      <c r="V942" s="6"/>
      <c r="W942" s="6"/>
      <c r="X942" s="3"/>
      <c r="Y942" s="6"/>
      <c r="Z942" s="3"/>
      <c r="AA942" s="6"/>
      <c r="AB942" s="6"/>
      <c r="AC942" s="3"/>
    </row>
    <row r="943" spans="1:29" ht="15.75" customHeight="1" x14ac:dyDescent="0.2">
      <c r="A943" s="2"/>
      <c r="B943" s="2"/>
      <c r="C943" s="2"/>
      <c r="D943" s="14"/>
      <c r="E943" s="6"/>
      <c r="F943" s="3"/>
      <c r="G943" s="6"/>
      <c r="H943" s="6"/>
      <c r="I943" s="3"/>
      <c r="J943" s="6"/>
      <c r="K943" s="3"/>
      <c r="L943" s="6"/>
      <c r="M943" s="6"/>
      <c r="N943" s="3"/>
      <c r="O943" s="6"/>
      <c r="P943" s="3"/>
      <c r="Q943" s="6"/>
      <c r="R943" s="6"/>
      <c r="S943" s="3"/>
      <c r="T943" s="6"/>
      <c r="U943" s="3"/>
      <c r="V943" s="6"/>
      <c r="W943" s="6"/>
      <c r="X943" s="3"/>
      <c r="Y943" s="6"/>
      <c r="Z943" s="3"/>
      <c r="AA943" s="6"/>
      <c r="AB943" s="6"/>
      <c r="AC943" s="3"/>
    </row>
    <row r="944" spans="1:29" ht="15.75" customHeight="1" x14ac:dyDescent="0.2">
      <c r="A944" s="2"/>
      <c r="B944" s="2"/>
      <c r="C944" s="2"/>
      <c r="D944" s="14"/>
      <c r="E944" s="6"/>
      <c r="F944" s="3"/>
      <c r="G944" s="6"/>
      <c r="H944" s="6"/>
      <c r="I944" s="3"/>
      <c r="J944" s="6"/>
      <c r="K944" s="3"/>
      <c r="L944" s="6"/>
      <c r="M944" s="6"/>
      <c r="N944" s="3"/>
      <c r="O944" s="6"/>
      <c r="P944" s="3"/>
      <c r="Q944" s="6"/>
      <c r="R944" s="6"/>
      <c r="S944" s="3"/>
      <c r="T944" s="6"/>
      <c r="U944" s="3"/>
      <c r="V944" s="6"/>
      <c r="W944" s="6"/>
      <c r="X944" s="3"/>
      <c r="Y944" s="6"/>
      <c r="Z944" s="3"/>
      <c r="AA944" s="6"/>
      <c r="AB944" s="6"/>
      <c r="AC944" s="3"/>
    </row>
    <row r="945" spans="1:29" ht="15.75" customHeight="1" x14ac:dyDescent="0.2">
      <c r="A945" s="2"/>
      <c r="B945" s="2"/>
      <c r="C945" s="2"/>
      <c r="D945" s="14"/>
      <c r="E945" s="6"/>
      <c r="F945" s="3"/>
      <c r="G945" s="6"/>
      <c r="H945" s="6"/>
      <c r="I945" s="3"/>
      <c r="J945" s="6"/>
      <c r="K945" s="3"/>
      <c r="L945" s="6"/>
      <c r="M945" s="6"/>
      <c r="N945" s="3"/>
      <c r="O945" s="6"/>
      <c r="P945" s="3"/>
      <c r="Q945" s="6"/>
      <c r="R945" s="6"/>
      <c r="S945" s="3"/>
      <c r="T945" s="6"/>
      <c r="U945" s="3"/>
      <c r="V945" s="6"/>
      <c r="W945" s="6"/>
      <c r="X945" s="3"/>
      <c r="Y945" s="6"/>
      <c r="Z945" s="3"/>
      <c r="AA945" s="6"/>
      <c r="AB945" s="6"/>
      <c r="AC945" s="3"/>
    </row>
    <row r="946" spans="1:29" ht="15.75" customHeight="1" x14ac:dyDescent="0.2">
      <c r="A946" s="2"/>
      <c r="B946" s="2"/>
      <c r="C946" s="2"/>
      <c r="D946" s="14"/>
      <c r="E946" s="6"/>
      <c r="F946" s="3"/>
      <c r="G946" s="6"/>
      <c r="H946" s="6"/>
      <c r="I946" s="3"/>
      <c r="J946" s="6"/>
      <c r="K946" s="3"/>
      <c r="L946" s="6"/>
      <c r="M946" s="6"/>
      <c r="N946" s="3"/>
      <c r="O946" s="6"/>
      <c r="P946" s="3"/>
      <c r="Q946" s="6"/>
      <c r="R946" s="6"/>
      <c r="S946" s="3"/>
      <c r="T946" s="6"/>
      <c r="U946" s="3"/>
      <c r="V946" s="6"/>
      <c r="W946" s="6"/>
      <c r="X946" s="3"/>
      <c r="Y946" s="6"/>
      <c r="Z946" s="3"/>
      <c r="AA946" s="6"/>
      <c r="AB946" s="6"/>
      <c r="AC946" s="3"/>
    </row>
    <row r="947" spans="1:29" ht="15.75" customHeight="1" x14ac:dyDescent="0.2">
      <c r="A947" s="2"/>
      <c r="B947" s="2"/>
      <c r="C947" s="2"/>
      <c r="D947" s="14"/>
      <c r="E947" s="6"/>
      <c r="F947" s="3"/>
      <c r="G947" s="6"/>
      <c r="H947" s="6"/>
      <c r="I947" s="3"/>
      <c r="J947" s="6"/>
      <c r="K947" s="3"/>
      <c r="L947" s="6"/>
      <c r="M947" s="6"/>
      <c r="N947" s="3"/>
      <c r="O947" s="6"/>
      <c r="P947" s="3"/>
      <c r="Q947" s="6"/>
      <c r="R947" s="6"/>
      <c r="S947" s="3"/>
      <c r="T947" s="6"/>
      <c r="U947" s="3"/>
      <c r="V947" s="6"/>
      <c r="W947" s="6"/>
      <c r="X947" s="3"/>
      <c r="Y947" s="6"/>
      <c r="Z947" s="3"/>
      <c r="AA947" s="6"/>
      <c r="AB947" s="6"/>
      <c r="AC947" s="3"/>
    </row>
    <row r="948" spans="1:29" ht="15.75" customHeight="1" x14ac:dyDescent="0.2">
      <c r="A948" s="2"/>
      <c r="B948" s="2"/>
      <c r="C948" s="2"/>
      <c r="D948" s="14"/>
      <c r="E948" s="6"/>
      <c r="F948" s="3"/>
      <c r="G948" s="6"/>
      <c r="H948" s="6"/>
      <c r="I948" s="3"/>
      <c r="J948" s="6"/>
      <c r="K948" s="3"/>
      <c r="L948" s="6"/>
      <c r="M948" s="6"/>
      <c r="N948" s="3"/>
      <c r="O948" s="6"/>
      <c r="P948" s="3"/>
      <c r="Q948" s="6"/>
      <c r="R948" s="6"/>
      <c r="S948" s="3"/>
      <c r="T948" s="6"/>
      <c r="U948" s="3"/>
      <c r="V948" s="6"/>
      <c r="W948" s="6"/>
      <c r="X948" s="3"/>
      <c r="Y948" s="6"/>
      <c r="Z948" s="3"/>
      <c r="AA948" s="6"/>
      <c r="AB948" s="6"/>
      <c r="AC948" s="3"/>
    </row>
    <row r="949" spans="1:29" ht="15.75" customHeight="1" x14ac:dyDescent="0.2">
      <c r="A949" s="2"/>
      <c r="B949" s="2"/>
      <c r="C949" s="2"/>
      <c r="D949" s="14"/>
      <c r="E949" s="6"/>
      <c r="F949" s="3"/>
      <c r="G949" s="6"/>
      <c r="H949" s="6"/>
      <c r="I949" s="3"/>
      <c r="J949" s="6"/>
      <c r="K949" s="3"/>
      <c r="L949" s="6"/>
      <c r="M949" s="6"/>
      <c r="N949" s="3"/>
      <c r="O949" s="6"/>
      <c r="P949" s="3"/>
      <c r="Q949" s="6"/>
      <c r="R949" s="6"/>
      <c r="S949" s="3"/>
      <c r="T949" s="6"/>
      <c r="U949" s="3"/>
      <c r="V949" s="6"/>
      <c r="W949" s="6"/>
      <c r="X949" s="3"/>
      <c r="Y949" s="6"/>
      <c r="Z949" s="3"/>
      <c r="AA949" s="6"/>
      <c r="AB949" s="6"/>
      <c r="AC949" s="3"/>
    </row>
    <row r="950" spans="1:29" ht="15.75" customHeight="1" x14ac:dyDescent="0.2">
      <c r="A950" s="2"/>
      <c r="B950" s="2"/>
      <c r="C950" s="2"/>
      <c r="D950" s="14"/>
      <c r="E950" s="6"/>
      <c r="F950" s="3"/>
      <c r="G950" s="6"/>
      <c r="H950" s="6"/>
      <c r="I950" s="3"/>
      <c r="J950" s="6"/>
      <c r="K950" s="3"/>
      <c r="L950" s="6"/>
      <c r="M950" s="6"/>
      <c r="N950" s="3"/>
      <c r="O950" s="6"/>
      <c r="P950" s="3"/>
      <c r="Q950" s="6"/>
      <c r="R950" s="6"/>
      <c r="S950" s="3"/>
      <c r="T950" s="6"/>
      <c r="U950" s="3"/>
      <c r="V950" s="6"/>
      <c r="W950" s="6"/>
      <c r="X950" s="3"/>
      <c r="Y950" s="6"/>
      <c r="Z950" s="3"/>
      <c r="AA950" s="6"/>
      <c r="AB950" s="6"/>
      <c r="AC950" s="3"/>
    </row>
    <row r="951" spans="1:29" ht="15.75" customHeight="1" x14ac:dyDescent="0.2">
      <c r="A951" s="2"/>
      <c r="B951" s="2"/>
      <c r="C951" s="2"/>
      <c r="D951" s="14"/>
      <c r="E951" s="6"/>
      <c r="F951" s="3"/>
      <c r="G951" s="6"/>
      <c r="H951" s="6"/>
      <c r="I951" s="3"/>
      <c r="J951" s="6"/>
      <c r="K951" s="3"/>
      <c r="L951" s="6"/>
      <c r="M951" s="6"/>
      <c r="N951" s="3"/>
      <c r="O951" s="6"/>
      <c r="P951" s="3"/>
      <c r="Q951" s="6"/>
      <c r="R951" s="6"/>
      <c r="S951" s="3"/>
      <c r="T951" s="6"/>
      <c r="U951" s="3"/>
      <c r="V951" s="6"/>
      <c r="W951" s="6"/>
      <c r="X951" s="3"/>
      <c r="Y951" s="6"/>
      <c r="Z951" s="3"/>
      <c r="AA951" s="6"/>
      <c r="AB951" s="6"/>
      <c r="AC951" s="3"/>
    </row>
    <row r="952" spans="1:29" ht="15.75" customHeight="1" x14ac:dyDescent="0.2">
      <c r="A952" s="2"/>
      <c r="B952" s="2"/>
      <c r="C952" s="2"/>
      <c r="D952" s="14"/>
      <c r="E952" s="6"/>
      <c r="F952" s="3"/>
      <c r="G952" s="6"/>
      <c r="H952" s="6"/>
      <c r="I952" s="3"/>
      <c r="J952" s="6"/>
      <c r="K952" s="3"/>
      <c r="L952" s="6"/>
      <c r="M952" s="6"/>
      <c r="N952" s="3"/>
      <c r="O952" s="6"/>
      <c r="P952" s="3"/>
      <c r="Q952" s="6"/>
      <c r="R952" s="6"/>
      <c r="S952" s="3"/>
      <c r="T952" s="6"/>
      <c r="U952" s="3"/>
      <c r="V952" s="6"/>
      <c r="W952" s="6"/>
      <c r="X952" s="3"/>
      <c r="Y952" s="6"/>
      <c r="Z952" s="3"/>
      <c r="AA952" s="6"/>
      <c r="AB952" s="6"/>
      <c r="AC952" s="3"/>
    </row>
    <row r="953" spans="1:29" ht="15.75" customHeight="1" x14ac:dyDescent="0.2">
      <c r="A953" s="2"/>
      <c r="B953" s="2"/>
      <c r="C953" s="2"/>
      <c r="D953" s="14"/>
      <c r="E953" s="6"/>
      <c r="F953" s="3"/>
      <c r="G953" s="6"/>
      <c r="H953" s="6"/>
      <c r="I953" s="3"/>
      <c r="J953" s="6"/>
      <c r="K953" s="3"/>
      <c r="L953" s="6"/>
      <c r="M953" s="6"/>
      <c r="N953" s="3"/>
      <c r="O953" s="6"/>
      <c r="P953" s="3"/>
      <c r="Q953" s="6"/>
      <c r="R953" s="6"/>
      <c r="S953" s="3"/>
      <c r="T953" s="6"/>
      <c r="U953" s="3"/>
      <c r="V953" s="6"/>
      <c r="W953" s="6"/>
      <c r="X953" s="3"/>
      <c r="Y953" s="6"/>
      <c r="Z953" s="3"/>
      <c r="AA953" s="6"/>
      <c r="AB953" s="6"/>
      <c r="AC953" s="3"/>
    </row>
    <row r="954" spans="1:29" ht="15.75" customHeight="1" x14ac:dyDescent="0.2">
      <c r="A954" s="2"/>
      <c r="B954" s="2"/>
      <c r="C954" s="2"/>
      <c r="D954" s="14"/>
      <c r="E954" s="6"/>
      <c r="F954" s="3"/>
      <c r="G954" s="6"/>
      <c r="H954" s="6"/>
      <c r="I954" s="3"/>
      <c r="J954" s="6"/>
      <c r="K954" s="3"/>
      <c r="L954" s="6"/>
      <c r="M954" s="6"/>
      <c r="N954" s="3"/>
      <c r="O954" s="6"/>
      <c r="P954" s="3"/>
      <c r="Q954" s="6"/>
      <c r="R954" s="6"/>
      <c r="S954" s="3"/>
      <c r="T954" s="6"/>
      <c r="U954" s="3"/>
      <c r="V954" s="6"/>
      <c r="W954" s="6"/>
      <c r="X954" s="3"/>
      <c r="Y954" s="6"/>
      <c r="Z954" s="3"/>
      <c r="AA954" s="6"/>
      <c r="AB954" s="6"/>
      <c r="AC954" s="3"/>
    </row>
    <row r="955" spans="1:29" ht="15.75" customHeight="1" x14ac:dyDescent="0.2">
      <c r="A955" s="2"/>
      <c r="B955" s="2"/>
      <c r="C955" s="2"/>
      <c r="D955" s="14"/>
      <c r="E955" s="6"/>
      <c r="F955" s="3"/>
      <c r="G955" s="6"/>
      <c r="H955" s="6"/>
      <c r="I955" s="3"/>
      <c r="J955" s="6"/>
      <c r="K955" s="3"/>
      <c r="L955" s="6"/>
      <c r="M955" s="6"/>
      <c r="N955" s="3"/>
      <c r="O955" s="6"/>
      <c r="P955" s="3"/>
      <c r="Q955" s="6"/>
      <c r="R955" s="6"/>
      <c r="S955" s="3"/>
      <c r="T955" s="6"/>
      <c r="U955" s="3"/>
      <c r="V955" s="6"/>
      <c r="W955" s="6"/>
      <c r="X955" s="3"/>
      <c r="Y955" s="6"/>
      <c r="Z955" s="3"/>
      <c r="AA955" s="6"/>
      <c r="AB955" s="6"/>
      <c r="AC955" s="3"/>
    </row>
    <row r="956" spans="1:29" ht="15.75" customHeight="1" x14ac:dyDescent="0.2">
      <c r="A956" s="2"/>
      <c r="B956" s="2"/>
      <c r="C956" s="2"/>
      <c r="D956" s="14"/>
      <c r="E956" s="6"/>
      <c r="F956" s="3"/>
      <c r="G956" s="6"/>
      <c r="H956" s="6"/>
      <c r="I956" s="3"/>
      <c r="J956" s="6"/>
      <c r="K956" s="3"/>
      <c r="L956" s="6"/>
      <c r="M956" s="6"/>
      <c r="N956" s="3"/>
      <c r="O956" s="6"/>
      <c r="P956" s="3"/>
      <c r="Q956" s="6"/>
      <c r="R956" s="6"/>
      <c r="S956" s="3"/>
      <c r="T956" s="6"/>
      <c r="U956" s="3"/>
      <c r="V956" s="6"/>
      <c r="W956" s="6"/>
      <c r="X956" s="3"/>
      <c r="Y956" s="6"/>
      <c r="Z956" s="3"/>
      <c r="AA956" s="6"/>
      <c r="AB956" s="6"/>
      <c r="AC956" s="3"/>
    </row>
    <row r="957" spans="1:29" ht="15.75" customHeight="1" x14ac:dyDescent="0.2">
      <c r="A957" s="2"/>
      <c r="B957" s="2"/>
      <c r="C957" s="2"/>
      <c r="D957" s="14"/>
      <c r="E957" s="6"/>
      <c r="F957" s="3"/>
      <c r="G957" s="6"/>
      <c r="H957" s="6"/>
      <c r="I957" s="3"/>
      <c r="J957" s="6"/>
      <c r="K957" s="3"/>
      <c r="L957" s="6"/>
      <c r="M957" s="6"/>
      <c r="N957" s="3"/>
      <c r="O957" s="6"/>
      <c r="P957" s="3"/>
      <c r="Q957" s="6"/>
      <c r="R957" s="6"/>
      <c r="S957" s="3"/>
      <c r="T957" s="6"/>
      <c r="U957" s="3"/>
      <c r="V957" s="6"/>
      <c r="W957" s="6"/>
      <c r="X957" s="3"/>
      <c r="Y957" s="6"/>
      <c r="Z957" s="3"/>
      <c r="AA957" s="6"/>
      <c r="AB957" s="6"/>
      <c r="AC957" s="3"/>
    </row>
    <row r="958" spans="1:29" ht="15.75" customHeight="1" x14ac:dyDescent="0.2">
      <c r="A958" s="2"/>
      <c r="B958" s="2"/>
      <c r="C958" s="2"/>
      <c r="D958" s="14"/>
      <c r="E958" s="6"/>
      <c r="F958" s="3"/>
      <c r="G958" s="6"/>
      <c r="H958" s="6"/>
      <c r="I958" s="3"/>
      <c r="J958" s="6"/>
      <c r="K958" s="3"/>
      <c r="L958" s="6"/>
      <c r="M958" s="6"/>
      <c r="N958" s="3"/>
      <c r="O958" s="6"/>
      <c r="P958" s="3"/>
      <c r="Q958" s="6"/>
      <c r="R958" s="6"/>
      <c r="S958" s="3"/>
      <c r="T958" s="6"/>
      <c r="U958" s="3"/>
      <c r="V958" s="6"/>
      <c r="W958" s="6"/>
      <c r="X958" s="3"/>
      <c r="Y958" s="6"/>
      <c r="Z958" s="3"/>
      <c r="AA958" s="6"/>
      <c r="AB958" s="6"/>
      <c r="AC958" s="3"/>
    </row>
    <row r="959" spans="1:29" ht="15.75" customHeight="1" x14ac:dyDescent="0.2">
      <c r="A959" s="2"/>
      <c r="B959" s="2"/>
      <c r="C959" s="2"/>
      <c r="D959" s="14"/>
      <c r="E959" s="6"/>
      <c r="F959" s="3"/>
      <c r="G959" s="6"/>
      <c r="H959" s="6"/>
      <c r="I959" s="3"/>
      <c r="J959" s="6"/>
      <c r="K959" s="3"/>
      <c r="L959" s="6"/>
      <c r="M959" s="6"/>
      <c r="N959" s="3"/>
      <c r="O959" s="6"/>
      <c r="P959" s="3"/>
      <c r="Q959" s="6"/>
      <c r="R959" s="6"/>
      <c r="S959" s="3"/>
      <c r="T959" s="6"/>
      <c r="U959" s="3"/>
      <c r="V959" s="6"/>
      <c r="W959" s="6"/>
      <c r="X959" s="3"/>
      <c r="Y959" s="6"/>
      <c r="Z959" s="3"/>
      <c r="AA959" s="6"/>
      <c r="AB959" s="6"/>
      <c r="AC959" s="3"/>
    </row>
    <row r="960" spans="1:29" ht="15.75" customHeight="1" x14ac:dyDescent="0.2">
      <c r="A960" s="2"/>
      <c r="B960" s="2"/>
      <c r="C960" s="2"/>
      <c r="D960" s="14"/>
      <c r="E960" s="6"/>
      <c r="F960" s="3"/>
      <c r="G960" s="6"/>
      <c r="H960" s="6"/>
      <c r="I960" s="3"/>
      <c r="J960" s="6"/>
      <c r="K960" s="3"/>
      <c r="L960" s="6"/>
      <c r="M960" s="6"/>
      <c r="N960" s="3"/>
      <c r="O960" s="6"/>
      <c r="P960" s="3"/>
      <c r="Q960" s="6"/>
      <c r="R960" s="6"/>
      <c r="S960" s="3"/>
      <c r="T960" s="6"/>
      <c r="U960" s="3"/>
      <c r="V960" s="6"/>
      <c r="W960" s="6"/>
      <c r="X960" s="3"/>
      <c r="Y960" s="6"/>
      <c r="Z960" s="3"/>
      <c r="AA960" s="6"/>
      <c r="AB960" s="6"/>
      <c r="AC960" s="3"/>
    </row>
    <row r="961" spans="1:29" ht="15.75" customHeight="1" x14ac:dyDescent="0.2">
      <c r="A961" s="2"/>
      <c r="B961" s="2"/>
      <c r="C961" s="2"/>
      <c r="D961" s="14"/>
      <c r="E961" s="6"/>
      <c r="F961" s="3"/>
      <c r="G961" s="6"/>
      <c r="H961" s="6"/>
      <c r="I961" s="3"/>
      <c r="J961" s="6"/>
      <c r="K961" s="3"/>
      <c r="L961" s="6"/>
      <c r="M961" s="6"/>
      <c r="N961" s="3"/>
      <c r="O961" s="6"/>
      <c r="P961" s="3"/>
      <c r="Q961" s="6"/>
      <c r="R961" s="6"/>
      <c r="S961" s="3"/>
      <c r="T961" s="6"/>
      <c r="U961" s="3"/>
      <c r="V961" s="6"/>
      <c r="W961" s="6"/>
      <c r="X961" s="3"/>
      <c r="Y961" s="6"/>
      <c r="Z961" s="3"/>
      <c r="AA961" s="6"/>
      <c r="AB961" s="6"/>
      <c r="AC961" s="3"/>
    </row>
    <row r="962" spans="1:29" ht="15.75" customHeight="1" x14ac:dyDescent="0.2">
      <c r="A962" s="2"/>
      <c r="B962" s="2"/>
      <c r="C962" s="2"/>
      <c r="D962" s="14"/>
      <c r="E962" s="6"/>
      <c r="F962" s="3"/>
      <c r="G962" s="6"/>
      <c r="H962" s="6"/>
      <c r="I962" s="3"/>
      <c r="J962" s="6"/>
      <c r="K962" s="3"/>
      <c r="L962" s="6"/>
      <c r="M962" s="6"/>
      <c r="N962" s="3"/>
      <c r="O962" s="6"/>
      <c r="P962" s="3"/>
      <c r="Q962" s="6"/>
      <c r="R962" s="6"/>
      <c r="S962" s="3"/>
      <c r="T962" s="6"/>
      <c r="U962" s="3"/>
      <c r="V962" s="6"/>
      <c r="W962" s="6"/>
      <c r="X962" s="3"/>
      <c r="Y962" s="6"/>
      <c r="Z962" s="3"/>
      <c r="AA962" s="6"/>
      <c r="AB962" s="6"/>
      <c r="AC962" s="3"/>
    </row>
    <row r="963" spans="1:29" ht="15.75" customHeight="1" x14ac:dyDescent="0.2">
      <c r="A963" s="2"/>
      <c r="B963" s="2"/>
      <c r="C963" s="2"/>
      <c r="D963" s="14"/>
      <c r="E963" s="6"/>
      <c r="F963" s="3"/>
      <c r="G963" s="6"/>
      <c r="H963" s="6"/>
      <c r="I963" s="3"/>
      <c r="J963" s="6"/>
      <c r="K963" s="3"/>
      <c r="L963" s="6"/>
      <c r="M963" s="6"/>
      <c r="N963" s="3"/>
      <c r="O963" s="6"/>
      <c r="P963" s="3"/>
      <c r="Q963" s="6"/>
      <c r="R963" s="6"/>
      <c r="S963" s="3"/>
      <c r="T963" s="6"/>
      <c r="U963" s="3"/>
      <c r="V963" s="6"/>
      <c r="W963" s="6"/>
      <c r="X963" s="3"/>
      <c r="Y963" s="6"/>
      <c r="Z963" s="3"/>
      <c r="AA963" s="6"/>
      <c r="AB963" s="6"/>
      <c r="AC963" s="3"/>
    </row>
    <row r="964" spans="1:29" ht="15.75" customHeight="1" x14ac:dyDescent="0.2">
      <c r="A964" s="2"/>
      <c r="B964" s="2"/>
      <c r="C964" s="2"/>
      <c r="D964" s="14"/>
      <c r="E964" s="6"/>
      <c r="F964" s="3"/>
      <c r="G964" s="6"/>
      <c r="H964" s="6"/>
      <c r="I964" s="3"/>
      <c r="J964" s="6"/>
      <c r="K964" s="3"/>
      <c r="L964" s="6"/>
      <c r="M964" s="6"/>
      <c r="N964" s="3"/>
      <c r="O964" s="6"/>
      <c r="P964" s="3"/>
      <c r="Q964" s="6"/>
      <c r="R964" s="6"/>
      <c r="S964" s="3"/>
      <c r="T964" s="6"/>
      <c r="U964" s="3"/>
      <c r="V964" s="6"/>
      <c r="W964" s="6"/>
      <c r="X964" s="3"/>
      <c r="Y964" s="6"/>
      <c r="Z964" s="3"/>
      <c r="AA964" s="6"/>
      <c r="AB964" s="6"/>
      <c r="AC964" s="3"/>
    </row>
    <row r="965" spans="1:29" ht="15.75" customHeight="1" x14ac:dyDescent="0.2">
      <c r="A965" s="2"/>
      <c r="B965" s="2"/>
      <c r="C965" s="2"/>
      <c r="D965" s="14"/>
      <c r="E965" s="6"/>
      <c r="F965" s="3"/>
      <c r="G965" s="6"/>
      <c r="H965" s="6"/>
      <c r="I965" s="3"/>
      <c r="J965" s="6"/>
      <c r="K965" s="3"/>
      <c r="L965" s="6"/>
      <c r="M965" s="6"/>
      <c r="N965" s="3"/>
      <c r="O965" s="6"/>
      <c r="P965" s="3"/>
      <c r="Q965" s="6"/>
      <c r="R965" s="6"/>
      <c r="S965" s="3"/>
      <c r="T965" s="6"/>
      <c r="U965" s="3"/>
      <c r="V965" s="6"/>
      <c r="W965" s="6"/>
      <c r="X965" s="3"/>
      <c r="Y965" s="6"/>
      <c r="Z965" s="3"/>
      <c r="AA965" s="6"/>
      <c r="AB965" s="6"/>
      <c r="AC965" s="3"/>
    </row>
    <row r="966" spans="1:29" ht="15.75" customHeight="1" x14ac:dyDescent="0.2">
      <c r="A966" s="2"/>
      <c r="B966" s="2"/>
      <c r="C966" s="2"/>
      <c r="D966" s="14"/>
      <c r="E966" s="6"/>
      <c r="F966" s="3"/>
      <c r="G966" s="6"/>
      <c r="H966" s="6"/>
      <c r="I966" s="3"/>
      <c r="J966" s="6"/>
      <c r="K966" s="3"/>
      <c r="L966" s="6"/>
      <c r="M966" s="6"/>
      <c r="N966" s="3"/>
      <c r="O966" s="6"/>
      <c r="P966" s="3"/>
      <c r="Q966" s="6"/>
      <c r="R966" s="6"/>
      <c r="S966" s="3"/>
      <c r="T966" s="6"/>
      <c r="U966" s="3"/>
      <c r="V966" s="6"/>
      <c r="W966" s="6"/>
      <c r="X966" s="3"/>
      <c r="Y966" s="6"/>
      <c r="Z966" s="3"/>
      <c r="AA966" s="6"/>
      <c r="AB966" s="6"/>
      <c r="AC966" s="3"/>
    </row>
    <row r="967" spans="1:29" ht="15.75" customHeight="1" x14ac:dyDescent="0.2">
      <c r="A967" s="2"/>
      <c r="B967" s="2"/>
      <c r="C967" s="2"/>
      <c r="D967" s="14"/>
      <c r="E967" s="6"/>
      <c r="F967" s="3"/>
      <c r="G967" s="6"/>
      <c r="H967" s="6"/>
      <c r="I967" s="3"/>
      <c r="J967" s="6"/>
      <c r="K967" s="3"/>
      <c r="L967" s="6"/>
      <c r="M967" s="6"/>
      <c r="N967" s="3"/>
      <c r="O967" s="6"/>
      <c r="P967" s="3"/>
      <c r="Q967" s="6"/>
      <c r="R967" s="6"/>
      <c r="S967" s="3"/>
      <c r="T967" s="6"/>
      <c r="U967" s="3"/>
      <c r="V967" s="6"/>
      <c r="W967" s="6"/>
      <c r="X967" s="3"/>
      <c r="Y967" s="6"/>
      <c r="Z967" s="3"/>
      <c r="AA967" s="6"/>
      <c r="AB967" s="6"/>
      <c r="AC967" s="3"/>
    </row>
    <row r="968" spans="1:29" ht="15.75" customHeight="1" x14ac:dyDescent="0.2">
      <c r="A968" s="2"/>
      <c r="B968" s="2"/>
      <c r="C968" s="2"/>
      <c r="D968" s="14"/>
      <c r="E968" s="6"/>
      <c r="F968" s="3"/>
      <c r="G968" s="6"/>
      <c r="H968" s="6"/>
      <c r="I968" s="3"/>
      <c r="J968" s="6"/>
      <c r="K968" s="3"/>
      <c r="L968" s="6"/>
      <c r="M968" s="6"/>
      <c r="N968" s="3"/>
      <c r="O968" s="6"/>
      <c r="P968" s="3"/>
      <c r="Q968" s="6"/>
      <c r="R968" s="6"/>
      <c r="S968" s="3"/>
      <c r="T968" s="6"/>
      <c r="U968" s="3"/>
      <c r="V968" s="6"/>
      <c r="W968" s="6"/>
      <c r="X968" s="3"/>
      <c r="Y968" s="6"/>
      <c r="Z968" s="3"/>
      <c r="AA968" s="6"/>
      <c r="AB968" s="6"/>
      <c r="AC968" s="3"/>
    </row>
    <row r="969" spans="1:29" ht="15.75" customHeight="1" x14ac:dyDescent="0.2">
      <c r="A969" s="2"/>
      <c r="B969" s="2"/>
      <c r="C969" s="2"/>
      <c r="D969" s="14"/>
      <c r="E969" s="6"/>
      <c r="F969" s="3"/>
      <c r="G969" s="6"/>
      <c r="H969" s="6"/>
      <c r="I969" s="3"/>
      <c r="J969" s="6"/>
      <c r="K969" s="3"/>
      <c r="L969" s="6"/>
      <c r="M969" s="6"/>
      <c r="N969" s="3"/>
      <c r="O969" s="6"/>
      <c r="P969" s="3"/>
      <c r="Q969" s="6"/>
      <c r="R969" s="6"/>
      <c r="S969" s="3"/>
      <c r="T969" s="6"/>
      <c r="U969" s="3"/>
      <c r="V969" s="6"/>
      <c r="W969" s="6"/>
      <c r="X969" s="3"/>
      <c r="Y969" s="6"/>
      <c r="Z969" s="3"/>
      <c r="AA969" s="6"/>
      <c r="AB969" s="6"/>
      <c r="AC969" s="3"/>
    </row>
    <row r="970" spans="1:29" ht="15.75" customHeight="1" x14ac:dyDescent="0.2">
      <c r="A970" s="2"/>
      <c r="B970" s="2"/>
      <c r="C970" s="2"/>
      <c r="D970" s="14"/>
      <c r="E970" s="6"/>
      <c r="F970" s="3"/>
      <c r="G970" s="6"/>
      <c r="H970" s="6"/>
      <c r="I970" s="3"/>
      <c r="J970" s="6"/>
      <c r="K970" s="3"/>
      <c r="L970" s="6"/>
      <c r="M970" s="6"/>
      <c r="N970" s="3"/>
      <c r="O970" s="6"/>
      <c r="P970" s="3"/>
      <c r="Q970" s="6"/>
      <c r="R970" s="6"/>
      <c r="S970" s="3"/>
      <c r="T970" s="6"/>
      <c r="U970" s="3"/>
      <c r="V970" s="6"/>
      <c r="W970" s="6"/>
      <c r="X970" s="3"/>
      <c r="Y970" s="6"/>
      <c r="Z970" s="3"/>
      <c r="AA970" s="6"/>
      <c r="AB970" s="6"/>
      <c r="AC970" s="3"/>
    </row>
    <row r="971" spans="1:29" ht="15.75" customHeight="1" x14ac:dyDescent="0.2">
      <c r="A971" s="2"/>
      <c r="B971" s="2"/>
      <c r="C971" s="2"/>
      <c r="D971" s="14"/>
      <c r="E971" s="6"/>
      <c r="F971" s="3"/>
      <c r="G971" s="6"/>
      <c r="H971" s="6"/>
      <c r="I971" s="3"/>
      <c r="J971" s="6"/>
      <c r="K971" s="3"/>
      <c r="L971" s="6"/>
      <c r="M971" s="6"/>
      <c r="N971" s="3"/>
      <c r="O971" s="6"/>
      <c r="P971" s="3"/>
      <c r="Q971" s="6"/>
      <c r="R971" s="6"/>
      <c r="S971" s="3"/>
      <c r="T971" s="6"/>
      <c r="U971" s="3"/>
      <c r="V971" s="6"/>
      <c r="W971" s="6"/>
      <c r="X971" s="3"/>
      <c r="Y971" s="6"/>
      <c r="Z971" s="3"/>
      <c r="AA971" s="6"/>
      <c r="AB971" s="6"/>
      <c r="AC971" s="3"/>
    </row>
    <row r="972" spans="1:29" ht="15.75" customHeight="1" x14ac:dyDescent="0.2">
      <c r="A972" s="2"/>
      <c r="B972" s="2"/>
      <c r="C972" s="2"/>
      <c r="D972" s="14"/>
      <c r="E972" s="6"/>
      <c r="F972" s="3"/>
      <c r="G972" s="6"/>
      <c r="H972" s="6"/>
      <c r="I972" s="3"/>
      <c r="J972" s="6"/>
      <c r="K972" s="3"/>
      <c r="L972" s="6"/>
      <c r="M972" s="6"/>
      <c r="N972" s="3"/>
      <c r="O972" s="6"/>
      <c r="P972" s="3"/>
      <c r="Q972" s="6"/>
      <c r="R972" s="6"/>
      <c r="S972" s="3"/>
      <c r="T972" s="6"/>
      <c r="U972" s="3"/>
      <c r="V972" s="6"/>
      <c r="W972" s="6"/>
      <c r="X972" s="3"/>
      <c r="Y972" s="6"/>
      <c r="Z972" s="3"/>
      <c r="AA972" s="6"/>
      <c r="AB972" s="6"/>
      <c r="AC972" s="3"/>
    </row>
    <row r="973" spans="1:29" ht="15.75" customHeight="1" x14ac:dyDescent="0.2">
      <c r="A973" s="2"/>
      <c r="B973" s="2"/>
      <c r="C973" s="2"/>
      <c r="D973" s="14"/>
      <c r="E973" s="6"/>
      <c r="F973" s="3"/>
      <c r="G973" s="6"/>
      <c r="H973" s="6"/>
      <c r="I973" s="3"/>
      <c r="J973" s="6"/>
      <c r="K973" s="3"/>
      <c r="L973" s="6"/>
      <c r="M973" s="6"/>
      <c r="N973" s="3"/>
      <c r="O973" s="6"/>
      <c r="P973" s="3"/>
      <c r="Q973" s="6"/>
      <c r="R973" s="6"/>
      <c r="S973" s="3"/>
      <c r="T973" s="6"/>
      <c r="U973" s="3"/>
      <c r="V973" s="6"/>
      <c r="W973" s="6"/>
      <c r="X973" s="3"/>
      <c r="Y973" s="6"/>
      <c r="Z973" s="3"/>
      <c r="AA973" s="6"/>
      <c r="AB973" s="6"/>
      <c r="AC973" s="3"/>
    </row>
    <row r="974" spans="1:29" ht="15.75" customHeight="1" x14ac:dyDescent="0.2">
      <c r="A974" s="2"/>
      <c r="B974" s="2"/>
      <c r="C974" s="2"/>
      <c r="D974" s="14"/>
      <c r="E974" s="6"/>
      <c r="F974" s="3"/>
      <c r="G974" s="6"/>
      <c r="H974" s="6"/>
      <c r="I974" s="3"/>
      <c r="J974" s="6"/>
      <c r="K974" s="3"/>
      <c r="L974" s="6"/>
      <c r="M974" s="6"/>
      <c r="N974" s="3"/>
      <c r="O974" s="6"/>
      <c r="P974" s="3"/>
      <c r="Q974" s="6"/>
      <c r="R974" s="6"/>
      <c r="S974" s="3"/>
      <c r="T974" s="6"/>
      <c r="U974" s="3"/>
      <c r="V974" s="6"/>
      <c r="W974" s="6"/>
      <c r="X974" s="3"/>
      <c r="Y974" s="6"/>
      <c r="Z974" s="3"/>
      <c r="AA974" s="6"/>
      <c r="AB974" s="6"/>
      <c r="AC974" s="3"/>
    </row>
    <row r="975" spans="1:29" ht="15.75" customHeight="1" x14ac:dyDescent="0.2">
      <c r="A975" s="2"/>
      <c r="B975" s="2"/>
      <c r="C975" s="2"/>
      <c r="D975" s="14"/>
      <c r="E975" s="6"/>
      <c r="F975" s="3"/>
      <c r="G975" s="6"/>
      <c r="H975" s="6"/>
      <c r="I975" s="3"/>
      <c r="J975" s="6"/>
      <c r="K975" s="3"/>
      <c r="L975" s="6"/>
      <c r="M975" s="6"/>
      <c r="N975" s="3"/>
      <c r="O975" s="6"/>
      <c r="P975" s="3"/>
      <c r="Q975" s="6"/>
      <c r="R975" s="6"/>
      <c r="S975" s="3"/>
      <c r="T975" s="6"/>
      <c r="U975" s="3"/>
      <c r="V975" s="6"/>
      <c r="W975" s="6"/>
      <c r="X975" s="3"/>
      <c r="Y975" s="6"/>
      <c r="Z975" s="3"/>
      <c r="AA975" s="6"/>
      <c r="AB975" s="6"/>
      <c r="AC975" s="3"/>
    </row>
    <row r="976" spans="1:29" ht="15.75" customHeight="1" x14ac:dyDescent="0.2">
      <c r="A976" s="2"/>
      <c r="B976" s="2"/>
      <c r="C976" s="2"/>
      <c r="D976" s="14"/>
      <c r="E976" s="6"/>
      <c r="F976" s="3"/>
      <c r="G976" s="6"/>
      <c r="H976" s="6"/>
      <c r="I976" s="3"/>
      <c r="J976" s="6"/>
      <c r="K976" s="3"/>
      <c r="L976" s="6"/>
      <c r="M976" s="6"/>
      <c r="N976" s="3"/>
      <c r="O976" s="6"/>
      <c r="P976" s="3"/>
      <c r="Q976" s="6"/>
      <c r="R976" s="6"/>
      <c r="S976" s="3"/>
      <c r="T976" s="6"/>
      <c r="U976" s="3"/>
      <c r="V976" s="6"/>
      <c r="W976" s="6"/>
      <c r="X976" s="3"/>
      <c r="Y976" s="6"/>
      <c r="Z976" s="3"/>
      <c r="AA976" s="6"/>
      <c r="AB976" s="6"/>
      <c r="AC976" s="3"/>
    </row>
    <row r="977" spans="1:29" ht="15.75" customHeight="1" x14ac:dyDescent="0.2">
      <c r="A977" s="2"/>
      <c r="B977" s="2"/>
      <c r="C977" s="2"/>
      <c r="D977" s="14"/>
      <c r="E977" s="6"/>
      <c r="F977" s="3"/>
      <c r="G977" s="6"/>
      <c r="H977" s="6"/>
      <c r="I977" s="3"/>
      <c r="J977" s="6"/>
      <c r="K977" s="3"/>
      <c r="L977" s="6"/>
      <c r="M977" s="6"/>
      <c r="N977" s="3"/>
      <c r="O977" s="6"/>
      <c r="P977" s="3"/>
      <c r="Q977" s="6"/>
      <c r="R977" s="6"/>
      <c r="S977" s="3"/>
      <c r="T977" s="6"/>
      <c r="U977" s="3"/>
      <c r="V977" s="6"/>
      <c r="W977" s="6"/>
      <c r="X977" s="3"/>
      <c r="Y977" s="6"/>
      <c r="Z977" s="3"/>
      <c r="AA977" s="6"/>
      <c r="AB977" s="6"/>
      <c r="AC977" s="3"/>
    </row>
    <row r="978" spans="1:29" ht="15.75" customHeight="1" x14ac:dyDescent="0.2">
      <c r="A978" s="2"/>
      <c r="B978" s="2"/>
      <c r="C978" s="2"/>
      <c r="D978" s="14"/>
      <c r="E978" s="6"/>
      <c r="F978" s="3"/>
      <c r="G978" s="6"/>
      <c r="H978" s="6"/>
      <c r="I978" s="3"/>
      <c r="J978" s="6"/>
      <c r="K978" s="3"/>
      <c r="L978" s="6"/>
      <c r="M978" s="6"/>
      <c r="N978" s="3"/>
      <c r="O978" s="6"/>
      <c r="P978" s="3"/>
      <c r="Q978" s="6"/>
      <c r="R978" s="6"/>
      <c r="S978" s="3"/>
      <c r="T978" s="6"/>
      <c r="U978" s="3"/>
      <c r="V978" s="6"/>
      <c r="W978" s="6"/>
      <c r="X978" s="3"/>
      <c r="Y978" s="6"/>
      <c r="Z978" s="3"/>
      <c r="AA978" s="6"/>
      <c r="AB978" s="6"/>
      <c r="AC978" s="3"/>
    </row>
    <row r="979" spans="1:29" ht="15.75" customHeight="1" x14ac:dyDescent="0.2">
      <c r="A979" s="2"/>
      <c r="B979" s="2"/>
      <c r="C979" s="2"/>
      <c r="D979" s="14"/>
      <c r="E979" s="6"/>
      <c r="F979" s="3"/>
      <c r="G979" s="6"/>
      <c r="H979" s="6"/>
      <c r="I979" s="3"/>
      <c r="J979" s="6"/>
      <c r="K979" s="3"/>
      <c r="L979" s="6"/>
      <c r="M979" s="6"/>
      <c r="N979" s="3"/>
      <c r="O979" s="6"/>
      <c r="P979" s="3"/>
      <c r="Q979" s="6"/>
      <c r="R979" s="6"/>
      <c r="S979" s="3"/>
      <c r="T979" s="6"/>
      <c r="U979" s="3"/>
      <c r="V979" s="6"/>
      <c r="W979" s="6"/>
      <c r="X979" s="3"/>
      <c r="Y979" s="6"/>
      <c r="Z979" s="3"/>
      <c r="AA979" s="6"/>
      <c r="AB979" s="6"/>
      <c r="AC979" s="3"/>
    </row>
    <row r="980" spans="1:29" ht="15.75" customHeight="1" x14ac:dyDescent="0.2">
      <c r="A980" s="2"/>
      <c r="B980" s="2"/>
      <c r="C980" s="2"/>
      <c r="D980" s="14"/>
      <c r="E980" s="6"/>
      <c r="F980" s="3"/>
      <c r="G980" s="6"/>
      <c r="H980" s="6"/>
      <c r="I980" s="3"/>
      <c r="J980" s="6"/>
      <c r="K980" s="3"/>
      <c r="L980" s="6"/>
      <c r="M980" s="6"/>
      <c r="N980" s="3"/>
      <c r="O980" s="6"/>
      <c r="P980" s="3"/>
      <c r="Q980" s="6"/>
      <c r="R980" s="6"/>
      <c r="S980" s="3"/>
      <c r="T980" s="6"/>
      <c r="U980" s="3"/>
      <c r="V980" s="6"/>
      <c r="W980" s="6"/>
      <c r="X980" s="3"/>
      <c r="Y980" s="6"/>
      <c r="Z980" s="3"/>
      <c r="AA980" s="6"/>
      <c r="AB980" s="6"/>
      <c r="AC980" s="3"/>
    </row>
    <row r="981" spans="1:29" ht="15.75" customHeight="1" x14ac:dyDescent="0.2">
      <c r="A981" s="2"/>
      <c r="B981" s="2"/>
      <c r="C981" s="2"/>
      <c r="D981" s="14"/>
      <c r="E981" s="6"/>
      <c r="F981" s="3"/>
      <c r="G981" s="6"/>
      <c r="H981" s="6"/>
      <c r="I981" s="3"/>
      <c r="J981" s="6"/>
      <c r="K981" s="3"/>
      <c r="L981" s="6"/>
      <c r="M981" s="6"/>
      <c r="N981" s="3"/>
      <c r="O981" s="6"/>
      <c r="P981" s="3"/>
      <c r="Q981" s="6"/>
      <c r="R981" s="6"/>
      <c r="S981" s="3"/>
      <c r="T981" s="6"/>
      <c r="U981" s="3"/>
      <c r="V981" s="6"/>
      <c r="W981" s="6"/>
      <c r="X981" s="3"/>
      <c r="Y981" s="6"/>
      <c r="Z981" s="3"/>
      <c r="AA981" s="6"/>
      <c r="AB981" s="6"/>
      <c r="AC981" s="3"/>
    </row>
    <row r="982" spans="1:29" ht="15.75" customHeight="1" x14ac:dyDescent="0.2">
      <c r="A982" s="2"/>
      <c r="B982" s="2"/>
      <c r="C982" s="2"/>
      <c r="D982" s="14"/>
      <c r="E982" s="6"/>
      <c r="F982" s="3"/>
      <c r="G982" s="6"/>
      <c r="H982" s="6"/>
      <c r="I982" s="3"/>
      <c r="J982" s="6"/>
      <c r="K982" s="3"/>
      <c r="L982" s="6"/>
      <c r="M982" s="6"/>
      <c r="N982" s="3"/>
      <c r="O982" s="6"/>
      <c r="P982" s="3"/>
      <c r="Q982" s="6"/>
      <c r="R982" s="6"/>
      <c r="S982" s="3"/>
      <c r="T982" s="6"/>
      <c r="U982" s="3"/>
      <c r="V982" s="6"/>
      <c r="W982" s="6"/>
      <c r="X982" s="3"/>
      <c r="Y982" s="6"/>
      <c r="Z982" s="3"/>
      <c r="AA982" s="6"/>
      <c r="AB982" s="6"/>
      <c r="AC982" s="3"/>
    </row>
    <row r="983" spans="1:29" ht="15.75" customHeight="1" x14ac:dyDescent="0.2">
      <c r="A983" s="2"/>
      <c r="B983" s="2"/>
      <c r="C983" s="2"/>
      <c r="D983" s="14"/>
      <c r="E983" s="6"/>
      <c r="F983" s="3"/>
      <c r="G983" s="6"/>
      <c r="H983" s="6"/>
      <c r="I983" s="3"/>
      <c r="J983" s="6"/>
      <c r="K983" s="3"/>
      <c r="L983" s="6"/>
      <c r="M983" s="6"/>
      <c r="N983" s="3"/>
      <c r="O983" s="6"/>
      <c r="P983" s="3"/>
      <c r="Q983" s="6"/>
      <c r="R983" s="6"/>
      <c r="S983" s="3"/>
      <c r="T983" s="6"/>
      <c r="U983" s="3"/>
      <c r="V983" s="6"/>
      <c r="W983" s="6"/>
      <c r="X983" s="3"/>
      <c r="Y983" s="6"/>
      <c r="Z983" s="3"/>
      <c r="AA983" s="6"/>
      <c r="AB983" s="6"/>
      <c r="AC983" s="3"/>
    </row>
    <row r="984" spans="1:29" ht="15.75" customHeight="1" x14ac:dyDescent="0.2">
      <c r="A984" s="2"/>
      <c r="B984" s="2"/>
      <c r="C984" s="2"/>
      <c r="D984" s="14"/>
      <c r="E984" s="6"/>
      <c r="F984" s="3"/>
      <c r="G984" s="6"/>
      <c r="H984" s="6"/>
      <c r="I984" s="3"/>
      <c r="J984" s="6"/>
      <c r="K984" s="3"/>
      <c r="L984" s="6"/>
      <c r="M984" s="6"/>
      <c r="N984" s="3"/>
      <c r="O984" s="6"/>
      <c r="P984" s="3"/>
      <c r="Q984" s="6"/>
      <c r="R984" s="6"/>
      <c r="S984" s="3"/>
      <c r="T984" s="6"/>
      <c r="U984" s="3"/>
      <c r="V984" s="6"/>
      <c r="W984" s="6"/>
      <c r="X984" s="3"/>
      <c r="Y984" s="6"/>
      <c r="Z984" s="3"/>
      <c r="AA984" s="6"/>
      <c r="AB984" s="6"/>
      <c r="AC984" s="3"/>
    </row>
    <row r="985" spans="1:29" ht="15.75" customHeight="1" x14ac:dyDescent="0.2">
      <c r="A985" s="2"/>
      <c r="B985" s="2"/>
      <c r="C985" s="2"/>
      <c r="D985" s="14"/>
      <c r="E985" s="6"/>
      <c r="F985" s="3"/>
      <c r="G985" s="6"/>
      <c r="H985" s="6"/>
      <c r="I985" s="3"/>
      <c r="J985" s="6"/>
      <c r="K985" s="3"/>
      <c r="L985" s="6"/>
      <c r="M985" s="6"/>
      <c r="N985" s="3"/>
      <c r="O985" s="6"/>
      <c r="P985" s="3"/>
      <c r="Q985" s="6"/>
      <c r="R985" s="6"/>
      <c r="S985" s="3"/>
      <c r="T985" s="6"/>
      <c r="U985" s="3"/>
      <c r="V985" s="6"/>
      <c r="W985" s="6"/>
      <c r="X985" s="3"/>
      <c r="Y985" s="6"/>
      <c r="Z985" s="3"/>
      <c r="AA985" s="6"/>
      <c r="AB985" s="6"/>
      <c r="AC985" s="3"/>
    </row>
    <row r="986" spans="1:29" ht="15.75" customHeight="1" x14ac:dyDescent="0.2">
      <c r="A986" s="2"/>
      <c r="B986" s="2"/>
      <c r="C986" s="2"/>
      <c r="D986" s="14"/>
      <c r="E986" s="6"/>
      <c r="F986" s="3"/>
      <c r="G986" s="6"/>
      <c r="H986" s="6"/>
      <c r="I986" s="3"/>
      <c r="J986" s="6"/>
      <c r="K986" s="3"/>
      <c r="L986" s="6"/>
      <c r="M986" s="6"/>
      <c r="N986" s="3"/>
      <c r="O986" s="6"/>
      <c r="P986" s="3"/>
      <c r="Q986" s="6"/>
      <c r="R986" s="6"/>
      <c r="S986" s="3"/>
      <c r="T986" s="6"/>
      <c r="U986" s="3"/>
      <c r="V986" s="6"/>
      <c r="W986" s="6"/>
      <c r="X986" s="3"/>
      <c r="Y986" s="6"/>
      <c r="Z986" s="3"/>
      <c r="AA986" s="6"/>
      <c r="AB986" s="6"/>
      <c r="AC986" s="3"/>
    </row>
    <row r="987" spans="1:29" ht="15.75" customHeight="1" x14ac:dyDescent="0.2">
      <c r="A987" s="2"/>
      <c r="B987" s="2"/>
      <c r="C987" s="2"/>
      <c r="D987" s="14"/>
      <c r="E987" s="6"/>
      <c r="F987" s="3"/>
      <c r="G987" s="6"/>
      <c r="H987" s="6"/>
      <c r="I987" s="3"/>
      <c r="J987" s="6"/>
      <c r="K987" s="3"/>
      <c r="L987" s="6"/>
      <c r="M987" s="6"/>
      <c r="N987" s="3"/>
      <c r="O987" s="6"/>
      <c r="P987" s="3"/>
      <c r="Q987" s="6"/>
      <c r="R987" s="6"/>
      <c r="S987" s="3"/>
      <c r="T987" s="6"/>
      <c r="U987" s="3"/>
      <c r="V987" s="6"/>
      <c r="W987" s="6"/>
      <c r="X987" s="3"/>
      <c r="Y987" s="6"/>
      <c r="Z987" s="3"/>
      <c r="AA987" s="6"/>
      <c r="AB987" s="6"/>
      <c r="AC987" s="3"/>
    </row>
    <row r="988" spans="1:29" ht="15.75" customHeight="1" x14ac:dyDescent="0.2">
      <c r="A988" s="2"/>
      <c r="B988" s="2"/>
      <c r="C988" s="2"/>
      <c r="D988" s="14"/>
      <c r="E988" s="6"/>
      <c r="F988" s="3"/>
      <c r="G988" s="6"/>
      <c r="H988" s="6"/>
      <c r="I988" s="3"/>
      <c r="J988" s="6"/>
      <c r="K988" s="3"/>
      <c r="L988" s="6"/>
      <c r="M988" s="6"/>
      <c r="N988" s="3"/>
      <c r="O988" s="6"/>
      <c r="P988" s="3"/>
      <c r="Q988" s="6"/>
      <c r="R988" s="6"/>
      <c r="S988" s="3"/>
      <c r="T988" s="6"/>
      <c r="U988" s="3"/>
      <c r="V988" s="6"/>
      <c r="W988" s="6"/>
      <c r="X988" s="3"/>
      <c r="Y988" s="6"/>
      <c r="Z988" s="3"/>
      <c r="AA988" s="6"/>
      <c r="AB988" s="6"/>
      <c r="AC988" s="3"/>
    </row>
    <row r="989" spans="1:29" ht="15.75" customHeight="1" x14ac:dyDescent="0.2">
      <c r="A989" s="2"/>
      <c r="B989" s="2"/>
      <c r="C989" s="2"/>
      <c r="D989" s="14"/>
      <c r="E989" s="6"/>
      <c r="F989" s="3"/>
      <c r="G989" s="6"/>
      <c r="H989" s="6"/>
      <c r="I989" s="3"/>
      <c r="J989" s="6"/>
      <c r="K989" s="3"/>
      <c r="L989" s="6"/>
      <c r="M989" s="6"/>
      <c r="N989" s="3"/>
      <c r="O989" s="6"/>
      <c r="P989" s="3"/>
      <c r="Q989" s="6"/>
      <c r="R989" s="6"/>
      <c r="S989" s="3"/>
      <c r="T989" s="6"/>
      <c r="U989" s="3"/>
      <c r="V989" s="6"/>
      <c r="W989" s="6"/>
      <c r="X989" s="3"/>
      <c r="Y989" s="6"/>
      <c r="Z989" s="3"/>
      <c r="AA989" s="6"/>
      <c r="AB989" s="6"/>
      <c r="AC989" s="3"/>
    </row>
    <row r="990" spans="1:29" ht="15.75" customHeight="1" x14ac:dyDescent="0.2">
      <c r="A990" s="2"/>
      <c r="B990" s="2"/>
      <c r="C990" s="2"/>
      <c r="D990" s="14"/>
      <c r="E990" s="6"/>
      <c r="F990" s="3"/>
      <c r="G990" s="6"/>
      <c r="H990" s="6"/>
      <c r="I990" s="3"/>
      <c r="J990" s="6"/>
      <c r="K990" s="3"/>
      <c r="L990" s="6"/>
      <c r="M990" s="6"/>
      <c r="N990" s="3"/>
      <c r="O990" s="6"/>
      <c r="P990" s="3"/>
      <c r="Q990" s="6"/>
      <c r="R990" s="6"/>
      <c r="S990" s="3"/>
      <c r="T990" s="6"/>
      <c r="U990" s="3"/>
      <c r="V990" s="6"/>
      <c r="W990" s="6"/>
      <c r="X990" s="3"/>
      <c r="Y990" s="6"/>
      <c r="Z990" s="3"/>
      <c r="AA990" s="6"/>
      <c r="AB990" s="6"/>
      <c r="AC990" s="3"/>
    </row>
    <row r="991" spans="1:29" ht="15.75" customHeight="1" x14ac:dyDescent="0.2">
      <c r="A991" s="2"/>
      <c r="B991" s="2"/>
      <c r="C991" s="2"/>
      <c r="D991" s="14"/>
      <c r="E991" s="6"/>
      <c r="F991" s="3"/>
      <c r="G991" s="6"/>
      <c r="H991" s="6"/>
      <c r="I991" s="3"/>
      <c r="J991" s="6"/>
      <c r="K991" s="3"/>
      <c r="L991" s="6"/>
      <c r="M991" s="6"/>
      <c r="N991" s="3"/>
      <c r="O991" s="6"/>
      <c r="P991" s="3"/>
      <c r="Q991" s="6"/>
      <c r="R991" s="6"/>
      <c r="S991" s="3"/>
      <c r="T991" s="6"/>
      <c r="U991" s="3"/>
      <c r="V991" s="6"/>
      <c r="W991" s="6"/>
      <c r="X991" s="3"/>
      <c r="Y991" s="6"/>
      <c r="Z991" s="3"/>
      <c r="AA991" s="6"/>
      <c r="AB991" s="6"/>
      <c r="AC991" s="3"/>
    </row>
    <row r="992" spans="1:29" ht="15.75" customHeight="1" x14ac:dyDescent="0.2">
      <c r="A992" s="2"/>
      <c r="B992" s="2"/>
      <c r="C992" s="2"/>
      <c r="D992" s="14"/>
      <c r="E992" s="6"/>
      <c r="F992" s="3"/>
      <c r="G992" s="6"/>
      <c r="H992" s="6"/>
      <c r="I992" s="3"/>
      <c r="J992" s="6"/>
      <c r="K992" s="3"/>
      <c r="L992" s="6"/>
      <c r="M992" s="6"/>
      <c r="N992" s="3"/>
      <c r="O992" s="6"/>
      <c r="P992" s="3"/>
      <c r="Q992" s="6"/>
      <c r="R992" s="6"/>
      <c r="S992" s="3"/>
      <c r="T992" s="6"/>
      <c r="U992" s="3"/>
      <c r="V992" s="6"/>
      <c r="W992" s="6"/>
      <c r="X992" s="3"/>
      <c r="Y992" s="6"/>
      <c r="Z992" s="3"/>
      <c r="AA992" s="6"/>
      <c r="AB992" s="6"/>
      <c r="AC992" s="3"/>
    </row>
    <row r="993" spans="1:29" ht="15.75" customHeight="1" x14ac:dyDescent="0.2">
      <c r="A993" s="2"/>
      <c r="B993" s="2"/>
      <c r="C993" s="2"/>
      <c r="D993" s="14"/>
      <c r="E993" s="6"/>
      <c r="F993" s="3"/>
      <c r="G993" s="6"/>
      <c r="H993" s="6"/>
      <c r="I993" s="3"/>
      <c r="J993" s="6"/>
      <c r="K993" s="3"/>
      <c r="L993" s="6"/>
      <c r="M993" s="6"/>
      <c r="N993" s="3"/>
      <c r="O993" s="6"/>
      <c r="P993" s="3"/>
      <c r="Q993" s="6"/>
      <c r="R993" s="6"/>
      <c r="S993" s="3"/>
      <c r="T993" s="6"/>
      <c r="U993" s="3"/>
      <c r="V993" s="6"/>
      <c r="W993" s="6"/>
      <c r="X993" s="3"/>
      <c r="Y993" s="6"/>
      <c r="Z993" s="3"/>
      <c r="AA993" s="6"/>
      <c r="AB993" s="6"/>
      <c r="AC993" s="3"/>
    </row>
    <row r="994" spans="1:29" ht="15.75" customHeight="1" x14ac:dyDescent="0.2">
      <c r="A994" s="2"/>
      <c r="B994" s="2"/>
      <c r="C994" s="2"/>
      <c r="D994" s="14"/>
      <c r="E994" s="6"/>
      <c r="F994" s="3"/>
      <c r="G994" s="6"/>
      <c r="H994" s="6"/>
      <c r="I994" s="3"/>
      <c r="J994" s="6"/>
      <c r="K994" s="3"/>
      <c r="L994" s="6"/>
      <c r="M994" s="6"/>
      <c r="N994" s="3"/>
      <c r="O994" s="6"/>
      <c r="P994" s="3"/>
      <c r="Q994" s="6"/>
      <c r="R994" s="6"/>
      <c r="S994" s="3"/>
      <c r="T994" s="6"/>
      <c r="U994" s="3"/>
      <c r="V994" s="6"/>
      <c r="W994" s="6"/>
      <c r="X994" s="3"/>
      <c r="Y994" s="6"/>
      <c r="Z994" s="3"/>
      <c r="AA994" s="6"/>
      <c r="AB994" s="6"/>
      <c r="AC994" s="3"/>
    </row>
    <row r="995" spans="1:29" ht="15.75" customHeight="1" x14ac:dyDescent="0.2">
      <c r="A995" s="2"/>
      <c r="B995" s="2"/>
      <c r="C995" s="2"/>
      <c r="D995" s="14"/>
      <c r="E995" s="6"/>
      <c r="F995" s="3"/>
      <c r="G995" s="6"/>
      <c r="H995" s="6"/>
      <c r="I995" s="3"/>
      <c r="J995" s="6"/>
      <c r="K995" s="3"/>
      <c r="L995" s="6"/>
      <c r="M995" s="6"/>
      <c r="N995" s="3"/>
      <c r="O995" s="6"/>
      <c r="P995" s="3"/>
      <c r="Q995" s="6"/>
      <c r="R995" s="6"/>
      <c r="S995" s="3"/>
      <c r="T995" s="6"/>
      <c r="U995" s="3"/>
      <c r="V995" s="6"/>
      <c r="W995" s="6"/>
      <c r="X995" s="3"/>
      <c r="Y995" s="6"/>
      <c r="Z995" s="3"/>
      <c r="AA995" s="6"/>
      <c r="AB995" s="6"/>
      <c r="AC995" s="3"/>
    </row>
    <row r="996" spans="1:29" ht="15.75" customHeight="1" x14ac:dyDescent="0.2">
      <c r="A996" s="2"/>
      <c r="B996" s="2"/>
      <c r="C996" s="2"/>
      <c r="D996" s="14"/>
      <c r="E996" s="6"/>
      <c r="F996" s="3"/>
      <c r="G996" s="6"/>
      <c r="H996" s="6"/>
      <c r="I996" s="3"/>
      <c r="J996" s="6"/>
      <c r="K996" s="3"/>
      <c r="L996" s="6"/>
      <c r="M996" s="6"/>
      <c r="N996" s="3"/>
      <c r="O996" s="6"/>
      <c r="P996" s="3"/>
      <c r="Q996" s="6"/>
      <c r="R996" s="6"/>
      <c r="S996" s="3"/>
      <c r="T996" s="6"/>
      <c r="U996" s="3"/>
      <c r="V996" s="6"/>
      <c r="W996" s="6"/>
      <c r="X996" s="3"/>
      <c r="Y996" s="6"/>
      <c r="Z996" s="3"/>
      <c r="AA996" s="6"/>
      <c r="AB996" s="6"/>
      <c r="AC996" s="3"/>
    </row>
    <row r="997" spans="1:29" ht="15.75" customHeight="1" x14ac:dyDescent="0.2">
      <c r="A997" s="2"/>
      <c r="B997" s="2"/>
      <c r="C997" s="2"/>
      <c r="D997" s="14"/>
      <c r="E997" s="6"/>
      <c r="F997" s="3"/>
      <c r="G997" s="6"/>
      <c r="H997" s="6"/>
      <c r="I997" s="3"/>
      <c r="J997" s="6"/>
      <c r="K997" s="3"/>
      <c r="L997" s="6"/>
      <c r="M997" s="6"/>
      <c r="N997" s="3"/>
      <c r="O997" s="6"/>
      <c r="P997" s="3"/>
      <c r="Q997" s="6"/>
      <c r="R997" s="6"/>
      <c r="S997" s="3"/>
      <c r="T997" s="6"/>
      <c r="U997" s="3"/>
      <c r="V997" s="6"/>
      <c r="W997" s="6"/>
      <c r="X997" s="3"/>
      <c r="Y997" s="6"/>
      <c r="Z997" s="3"/>
      <c r="AA997" s="6"/>
      <c r="AB997" s="6"/>
      <c r="AC997" s="3"/>
    </row>
    <row r="998" spans="1:29" ht="15.75" customHeight="1" x14ac:dyDescent="0.2">
      <c r="A998" s="2"/>
      <c r="B998" s="2"/>
      <c r="C998" s="2"/>
      <c r="D998" s="14"/>
      <c r="E998" s="6"/>
      <c r="F998" s="3"/>
      <c r="G998" s="6"/>
      <c r="H998" s="6"/>
      <c r="I998" s="3"/>
      <c r="J998" s="6"/>
      <c r="K998" s="3"/>
      <c r="L998" s="6"/>
      <c r="M998" s="6"/>
      <c r="N998" s="3"/>
      <c r="O998" s="6"/>
      <c r="P998" s="3"/>
      <c r="Q998" s="6"/>
      <c r="R998" s="6"/>
      <c r="S998" s="3"/>
      <c r="T998" s="6"/>
      <c r="U998" s="3"/>
      <c r="V998" s="6"/>
      <c r="W998" s="6"/>
      <c r="X998" s="3"/>
      <c r="Y998" s="6"/>
      <c r="Z998" s="3"/>
      <c r="AA998" s="6"/>
      <c r="AB998" s="6"/>
      <c r="AC998" s="3"/>
    </row>
    <row r="999" spans="1:29" ht="15.75" customHeight="1" x14ac:dyDescent="0.2">
      <c r="A999" s="2"/>
      <c r="B999" s="2"/>
      <c r="C999" s="2"/>
      <c r="D999" s="14"/>
      <c r="E999" s="6"/>
      <c r="F999" s="3"/>
      <c r="G999" s="6"/>
      <c r="H999" s="6"/>
      <c r="I999" s="3"/>
      <c r="J999" s="6"/>
      <c r="K999" s="3"/>
      <c r="L999" s="6"/>
      <c r="M999" s="6"/>
      <c r="N999" s="3"/>
      <c r="O999" s="6"/>
      <c r="P999" s="3"/>
      <c r="Q999" s="6"/>
      <c r="R999" s="6"/>
      <c r="S999" s="3"/>
      <c r="T999" s="6"/>
      <c r="U999" s="3"/>
      <c r="V999" s="6"/>
      <c r="W999" s="6"/>
      <c r="X999" s="3"/>
      <c r="Y999" s="6"/>
      <c r="Z999" s="3"/>
      <c r="AA999" s="6"/>
      <c r="AB999" s="6"/>
      <c r="AC999" s="3"/>
    </row>
    <row r="1000" spans="1:29" ht="15.75" customHeight="1" x14ac:dyDescent="0.2">
      <c r="A1000" s="2"/>
      <c r="B1000" s="2"/>
      <c r="C1000" s="2"/>
      <c r="D1000" s="14"/>
      <c r="E1000" s="6"/>
      <c r="F1000" s="3"/>
      <c r="G1000" s="6"/>
      <c r="H1000" s="6"/>
      <c r="I1000" s="3"/>
      <c r="J1000" s="6"/>
      <c r="K1000" s="3"/>
      <c r="L1000" s="6"/>
      <c r="M1000" s="6"/>
      <c r="N1000" s="3"/>
      <c r="O1000" s="6"/>
      <c r="P1000" s="3"/>
      <c r="Q1000" s="6"/>
      <c r="R1000" s="6"/>
      <c r="S1000" s="3"/>
      <c r="T1000" s="6"/>
      <c r="U1000" s="3"/>
      <c r="V1000" s="6"/>
      <c r="W1000" s="6"/>
      <c r="X1000" s="3"/>
      <c r="Y1000" s="6"/>
      <c r="Z1000" s="3"/>
      <c r="AA1000" s="6"/>
      <c r="AB1000" s="6"/>
      <c r="AC1000" s="3"/>
    </row>
  </sheetData>
  <mergeCells count="8">
    <mergeCell ref="A1:C2"/>
    <mergeCell ref="D1:D2"/>
    <mergeCell ref="E1:AC1"/>
    <mergeCell ref="E3:I3"/>
    <mergeCell ref="J3:N3"/>
    <mergeCell ref="O3:S3"/>
    <mergeCell ref="T3:X3"/>
    <mergeCell ref="Y3:AC3"/>
  </mergeCells>
  <dataValidations count="1">
    <dataValidation type="custom" allowBlank="1" sqref="E6 J6 O6 T6 Y6 E8:E12 J8:J12 O8:O12 T8:T12 Y8:Y12" xr:uid="{00000000-0002-0000-0500-000000000000}">
      <formula1>AND(GTE(LEN(E6),MIN((0),(10000))),LTE(LEN(E6),MAX((0),(10000))))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140"/>
  <sheetViews>
    <sheetView workbookViewId="0"/>
  </sheetViews>
  <sheetFormatPr defaultColWidth="12.5703125" defaultRowHeight="15" customHeight="1" x14ac:dyDescent="0.2"/>
  <cols>
    <col min="1" max="256" width="8.85546875" customWidth="1"/>
  </cols>
  <sheetData>
    <row r="1" spans="1:256" ht="12.75" customHeight="1" x14ac:dyDescent="0.2">
      <c r="A1" s="34" t="e">
        <f>IF(#REF!,"AAAAAHX/9gA=",0)</f>
        <v>#REF!</v>
      </c>
      <c r="B1" s="34" t="e">
        <f>AND(#REF!,"AAAAAHX/9gE=")</f>
        <v>#REF!</v>
      </c>
      <c r="C1" s="34" t="e">
        <f>AND(#REF!,"AAAAAHX/9gI=")</f>
        <v>#REF!</v>
      </c>
      <c r="D1" s="34" t="e">
        <f>AND(#REF!,"AAAAAHX/9gM=")</f>
        <v>#REF!</v>
      </c>
      <c r="E1" s="34" t="e">
        <f>AND(#REF!,"AAAAAHX/9gQ=")</f>
        <v>#REF!</v>
      </c>
      <c r="F1" s="34" t="e">
        <f>AND(#REF!,"AAAAAHX/9gU=")</f>
        <v>#REF!</v>
      </c>
      <c r="G1" s="34" t="e">
        <f>AND(#REF!,"AAAAAHX/9gY=")</f>
        <v>#REF!</v>
      </c>
      <c r="H1" s="34" t="e">
        <f>AND(#REF!,"AAAAAHX/9gc=")</f>
        <v>#REF!</v>
      </c>
      <c r="I1" s="34" t="e">
        <f>AND(#REF!,"AAAAAHX/9gg=")</f>
        <v>#REF!</v>
      </c>
      <c r="J1" s="34" t="e">
        <f>AND(#REF!,"AAAAAHX/9gk=")</f>
        <v>#REF!</v>
      </c>
      <c r="K1" s="34" t="e">
        <f>AND(#REF!,"AAAAAHX/9go=")</f>
        <v>#REF!</v>
      </c>
      <c r="L1" s="34" t="e">
        <f>AND(#REF!,"AAAAAHX/9gs=")</f>
        <v>#REF!</v>
      </c>
      <c r="M1" s="34" t="e">
        <f>AND(#REF!,"AAAAAHX/9gw=")</f>
        <v>#REF!</v>
      </c>
      <c r="N1" s="34" t="e">
        <f>AND(#REF!,"AAAAAHX/9g0=")</f>
        <v>#REF!</v>
      </c>
      <c r="O1" s="34" t="e">
        <f>AND(#REF!,"AAAAAHX/9g4=")</f>
        <v>#REF!</v>
      </c>
      <c r="P1" s="34" t="e">
        <f>IF(#REF!,"AAAAAHX/9g8=",0)</f>
        <v>#REF!</v>
      </c>
      <c r="Q1" s="34" t="e">
        <f>AND(#REF!,"AAAAAHX/9hA=")</f>
        <v>#REF!</v>
      </c>
      <c r="R1" s="34" t="e">
        <f>AND(#REF!,"AAAAAHX/9hE=")</f>
        <v>#REF!</v>
      </c>
      <c r="S1" s="34" t="e">
        <f>AND(#REF!,"AAAAAHX/9hI=")</f>
        <v>#REF!</v>
      </c>
      <c r="T1" s="34" t="e">
        <f>AND(#REF!,"AAAAAHX/9hM=")</f>
        <v>#REF!</v>
      </c>
      <c r="U1" s="34" t="e">
        <f>AND(#REF!,"AAAAAHX/9hQ=")</f>
        <v>#REF!</v>
      </c>
      <c r="V1" s="34" t="e">
        <f>AND(#REF!,"AAAAAHX/9hU=")</f>
        <v>#REF!</v>
      </c>
      <c r="W1" s="34" t="e">
        <f>AND(#REF!,"AAAAAHX/9hY=")</f>
        <v>#REF!</v>
      </c>
      <c r="X1" s="34" t="e">
        <f>AND(#REF!,"AAAAAHX/9hc=")</f>
        <v>#REF!</v>
      </c>
      <c r="Y1" s="34" t="e">
        <f>AND(#REF!,"AAAAAHX/9hg=")</f>
        <v>#REF!</v>
      </c>
      <c r="Z1" s="34" t="e">
        <f>AND(#REF!,"AAAAAHX/9hk=")</f>
        <v>#REF!</v>
      </c>
      <c r="AA1" s="34" t="e">
        <f>AND(#REF!,"AAAAAHX/9ho=")</f>
        <v>#REF!</v>
      </c>
      <c r="AB1" s="34" t="e">
        <f>AND(#REF!,"AAAAAHX/9hs=")</f>
        <v>#REF!</v>
      </c>
      <c r="AC1" s="34" t="e">
        <f>AND(#REF!,"AAAAAHX/9hw=")</f>
        <v>#REF!</v>
      </c>
      <c r="AD1" s="34" t="e">
        <f>AND(#REF!,"AAAAAHX/9h0=")</f>
        <v>#REF!</v>
      </c>
      <c r="AE1" s="34" t="e">
        <f>IF(#REF!,"AAAAAHX/9h4=",0)</f>
        <v>#REF!</v>
      </c>
      <c r="AF1" s="34" t="e">
        <f>AND(#REF!,"AAAAAHX/9h8=")</f>
        <v>#REF!</v>
      </c>
      <c r="AG1" s="34" t="e">
        <f>AND(#REF!,"AAAAAHX/9iA=")</f>
        <v>#REF!</v>
      </c>
      <c r="AH1" s="34" t="e">
        <f>AND(#REF!,"AAAAAHX/9iE=")</f>
        <v>#REF!</v>
      </c>
      <c r="AI1" s="34" t="e">
        <f>AND(#REF!,"AAAAAHX/9iI=")</f>
        <v>#REF!</v>
      </c>
      <c r="AJ1" s="34" t="e">
        <f>AND(#REF!,"AAAAAHX/9iM=")</f>
        <v>#REF!</v>
      </c>
      <c r="AK1" s="34" t="e">
        <f>AND(#REF!,"AAAAAHX/9iQ=")</f>
        <v>#REF!</v>
      </c>
      <c r="AL1" s="34" t="e">
        <f>AND(#REF!,"AAAAAHX/9iU=")</f>
        <v>#REF!</v>
      </c>
      <c r="AM1" s="34" t="e">
        <f>AND(#REF!,"AAAAAHX/9iY=")</f>
        <v>#REF!</v>
      </c>
      <c r="AN1" s="34" t="e">
        <f>AND(#REF!,"AAAAAHX/9ic=")</f>
        <v>#REF!</v>
      </c>
      <c r="AO1" s="34" t="e">
        <f>AND(#REF!,"AAAAAHX/9ig=")</f>
        <v>#REF!</v>
      </c>
      <c r="AP1" s="34" t="e">
        <f>AND(#REF!,"AAAAAHX/9ik=")</f>
        <v>#REF!</v>
      </c>
      <c r="AQ1" s="34" t="e">
        <f>AND(#REF!,"AAAAAHX/9io=")</f>
        <v>#REF!</v>
      </c>
      <c r="AR1" s="34" t="e">
        <f>AND(#REF!,"AAAAAHX/9is=")</f>
        <v>#REF!</v>
      </c>
      <c r="AS1" s="34" t="e">
        <f>AND(#REF!,"AAAAAHX/9iw=")</f>
        <v>#REF!</v>
      </c>
      <c r="AT1" s="34" t="e">
        <f>IF(#REF!,"AAAAAHX/9i0=",0)</f>
        <v>#REF!</v>
      </c>
      <c r="AU1" s="34" t="e">
        <f>AND(#REF!,"AAAAAHX/9i4=")</f>
        <v>#REF!</v>
      </c>
      <c r="AV1" s="34" t="e">
        <f>AND(#REF!,"AAAAAHX/9i8=")</f>
        <v>#REF!</v>
      </c>
      <c r="AW1" s="34" t="e">
        <f>AND(#REF!,"AAAAAHX/9jA=")</f>
        <v>#REF!</v>
      </c>
      <c r="AX1" s="34" t="e">
        <f>AND(#REF!,"AAAAAHX/9jE=")</f>
        <v>#REF!</v>
      </c>
      <c r="AY1" s="34" t="e">
        <f>AND(#REF!,"AAAAAHX/9jI=")</f>
        <v>#REF!</v>
      </c>
      <c r="AZ1" s="34" t="e">
        <f>AND(#REF!,"AAAAAHX/9jM=")</f>
        <v>#REF!</v>
      </c>
      <c r="BA1" s="34" t="e">
        <f>AND(#REF!,"AAAAAHX/9jQ=")</f>
        <v>#REF!</v>
      </c>
      <c r="BB1" s="34" t="e">
        <f>AND(#REF!,"AAAAAHX/9jU=")</f>
        <v>#REF!</v>
      </c>
      <c r="BC1" s="34" t="e">
        <f>AND(#REF!,"AAAAAHX/9jY=")</f>
        <v>#REF!</v>
      </c>
      <c r="BD1" s="34" t="e">
        <f>AND(#REF!,"AAAAAHX/9jc=")</f>
        <v>#REF!</v>
      </c>
      <c r="BE1" s="34" t="e">
        <f>AND(#REF!,"AAAAAHX/9jg=")</f>
        <v>#REF!</v>
      </c>
      <c r="BF1" s="34" t="e">
        <f>AND(#REF!,"AAAAAHX/9jk=")</f>
        <v>#REF!</v>
      </c>
      <c r="BG1" s="34" t="e">
        <f>AND(#REF!,"AAAAAHX/9jo=")</f>
        <v>#REF!</v>
      </c>
      <c r="BH1" s="34" t="e">
        <f>AND(#REF!,"AAAAAHX/9js=")</f>
        <v>#REF!</v>
      </c>
      <c r="BI1" s="34" t="e">
        <f>IF(#REF!,"AAAAAHX/9jw=",0)</f>
        <v>#REF!</v>
      </c>
      <c r="BJ1" s="34" t="e">
        <f>AND(#REF!,"AAAAAHX/9j0=")</f>
        <v>#REF!</v>
      </c>
      <c r="BK1" s="34" t="e">
        <f>AND(#REF!,"AAAAAHX/9j4=")</f>
        <v>#REF!</v>
      </c>
      <c r="BL1" s="34" t="e">
        <f>AND(#REF!,"AAAAAHX/9j8=")</f>
        <v>#REF!</v>
      </c>
      <c r="BM1" s="34" t="e">
        <f>AND(#REF!,"AAAAAHX/9kA=")</f>
        <v>#REF!</v>
      </c>
      <c r="BN1" s="34" t="e">
        <f>AND(#REF!,"AAAAAHX/9kE=")</f>
        <v>#REF!</v>
      </c>
      <c r="BO1" s="34" t="e">
        <f>AND(#REF!,"AAAAAHX/9kI=")</f>
        <v>#REF!</v>
      </c>
      <c r="BP1" s="34" t="e">
        <f>AND(#REF!,"AAAAAHX/9kM=")</f>
        <v>#REF!</v>
      </c>
      <c r="BQ1" s="34" t="e">
        <f>AND(#REF!,"AAAAAHX/9kQ=")</f>
        <v>#REF!</v>
      </c>
      <c r="BR1" s="34" t="e">
        <f>AND(#REF!,"AAAAAHX/9kU=")</f>
        <v>#REF!</v>
      </c>
      <c r="BS1" s="34" t="e">
        <f>AND(#REF!,"AAAAAHX/9kY=")</f>
        <v>#REF!</v>
      </c>
      <c r="BT1" s="34" t="e">
        <f>AND(#REF!,"AAAAAHX/9kc=")</f>
        <v>#REF!</v>
      </c>
      <c r="BU1" s="34" t="e">
        <f>AND(#REF!,"AAAAAHX/9kg=")</f>
        <v>#REF!</v>
      </c>
      <c r="BV1" s="34" t="e">
        <f>AND(#REF!,"AAAAAHX/9kk=")</f>
        <v>#REF!</v>
      </c>
      <c r="BW1" s="34" t="e">
        <f>AND(#REF!,"AAAAAHX/9ko=")</f>
        <v>#REF!</v>
      </c>
      <c r="BX1" s="34" t="e">
        <f>IF(#REF!,"AAAAAHX/9ks=",0)</f>
        <v>#REF!</v>
      </c>
      <c r="BY1" s="34" t="e">
        <f>AND(#REF!,"AAAAAHX/9kw=")</f>
        <v>#REF!</v>
      </c>
      <c r="BZ1" s="34" t="e">
        <f>AND(#REF!,"AAAAAHX/9k0=")</f>
        <v>#REF!</v>
      </c>
      <c r="CA1" s="34" t="e">
        <f>AND(#REF!,"AAAAAHX/9k4=")</f>
        <v>#REF!</v>
      </c>
      <c r="CB1" s="34" t="e">
        <f>AND(#REF!,"AAAAAHX/9k8=")</f>
        <v>#REF!</v>
      </c>
      <c r="CC1" s="34" t="e">
        <f>AND(#REF!,"AAAAAHX/9lA=")</f>
        <v>#REF!</v>
      </c>
      <c r="CD1" s="34" t="e">
        <f>AND(#REF!,"AAAAAHX/9lE=")</f>
        <v>#REF!</v>
      </c>
      <c r="CE1" s="34" t="e">
        <f>AND(#REF!,"AAAAAHX/9lI=")</f>
        <v>#REF!</v>
      </c>
      <c r="CF1" s="34" t="e">
        <f>AND(#REF!,"AAAAAHX/9lM=")</f>
        <v>#REF!</v>
      </c>
      <c r="CG1" s="34" t="e">
        <f>AND(#REF!,"AAAAAHX/9lQ=")</f>
        <v>#REF!</v>
      </c>
      <c r="CH1" s="34" t="e">
        <f>AND(#REF!,"AAAAAHX/9lU=")</f>
        <v>#REF!</v>
      </c>
      <c r="CI1" s="34" t="e">
        <f>AND(#REF!,"AAAAAHX/9lY=")</f>
        <v>#REF!</v>
      </c>
      <c r="CJ1" s="34" t="e">
        <f>AND(#REF!,"AAAAAHX/9lc=")</f>
        <v>#REF!</v>
      </c>
      <c r="CK1" s="34" t="e">
        <f>AND(#REF!,"AAAAAHX/9lg=")</f>
        <v>#REF!</v>
      </c>
      <c r="CL1" s="34" t="e">
        <f>AND(#REF!,"AAAAAHX/9lk=")</f>
        <v>#REF!</v>
      </c>
      <c r="CM1" s="34" t="e">
        <f>IF(#REF!,"AAAAAHX/9lo=",0)</f>
        <v>#REF!</v>
      </c>
      <c r="CN1" s="34" t="e">
        <f>AND(#REF!,"AAAAAHX/9ls=")</f>
        <v>#REF!</v>
      </c>
      <c r="CO1" s="34" t="e">
        <f>AND(#REF!,"AAAAAHX/9lw=")</f>
        <v>#REF!</v>
      </c>
      <c r="CP1" s="34" t="e">
        <f>AND(#REF!,"AAAAAHX/9l0=")</f>
        <v>#REF!</v>
      </c>
      <c r="CQ1" s="34" t="e">
        <f>AND(#REF!,"AAAAAHX/9l4=")</f>
        <v>#REF!</v>
      </c>
      <c r="CR1" s="34" t="e">
        <f>AND(#REF!,"AAAAAHX/9l8=")</f>
        <v>#REF!</v>
      </c>
      <c r="CS1" s="34" t="e">
        <f>AND(#REF!,"AAAAAHX/9mA=")</f>
        <v>#REF!</v>
      </c>
      <c r="CT1" s="34" t="e">
        <f>AND(#REF!,"AAAAAHX/9mE=")</f>
        <v>#REF!</v>
      </c>
      <c r="CU1" s="34" t="e">
        <f>AND(#REF!,"AAAAAHX/9mI=")</f>
        <v>#REF!</v>
      </c>
      <c r="CV1" s="34" t="e">
        <f>AND(#REF!,"AAAAAHX/9mM=")</f>
        <v>#REF!</v>
      </c>
      <c r="CW1" s="34" t="e">
        <f>AND(#REF!,"AAAAAHX/9mQ=")</f>
        <v>#REF!</v>
      </c>
      <c r="CX1" s="34" t="e">
        <f>AND(#REF!,"AAAAAHX/9mU=")</f>
        <v>#REF!</v>
      </c>
      <c r="CY1" s="34" t="e">
        <f>AND(#REF!,"AAAAAHX/9mY=")</f>
        <v>#REF!</v>
      </c>
      <c r="CZ1" s="34" t="e">
        <f>AND(#REF!,"AAAAAHX/9mc=")</f>
        <v>#REF!</v>
      </c>
      <c r="DA1" s="34" t="e">
        <f>AND(#REF!,"AAAAAHX/9mg=")</f>
        <v>#REF!</v>
      </c>
      <c r="DB1" s="34" t="e">
        <f>IF(#REF!,"AAAAAHX/9mk=",0)</f>
        <v>#REF!</v>
      </c>
      <c r="DC1" s="34" t="e">
        <f>AND(#REF!,"AAAAAHX/9mo=")</f>
        <v>#REF!</v>
      </c>
      <c r="DD1" s="34" t="e">
        <f>AND(#REF!,"AAAAAHX/9ms=")</f>
        <v>#REF!</v>
      </c>
      <c r="DE1" s="34" t="e">
        <f>AND(#REF!,"AAAAAHX/9mw=")</f>
        <v>#REF!</v>
      </c>
      <c r="DF1" s="34" t="e">
        <f>AND(#REF!,"AAAAAHX/9m0=")</f>
        <v>#REF!</v>
      </c>
      <c r="DG1" s="34" t="e">
        <f>AND(#REF!,"AAAAAHX/9m4=")</f>
        <v>#REF!</v>
      </c>
      <c r="DH1" s="34" t="e">
        <f>AND(#REF!,"AAAAAHX/9m8=")</f>
        <v>#REF!</v>
      </c>
      <c r="DI1" s="34" t="e">
        <f>AND(#REF!,"AAAAAHX/9nA=")</f>
        <v>#REF!</v>
      </c>
      <c r="DJ1" s="34" t="e">
        <f>AND(#REF!,"AAAAAHX/9nE=")</f>
        <v>#REF!</v>
      </c>
      <c r="DK1" s="34" t="e">
        <f>AND(#REF!,"AAAAAHX/9nI=")</f>
        <v>#REF!</v>
      </c>
      <c r="DL1" s="34" t="e">
        <f>AND(#REF!,"AAAAAHX/9nM=")</f>
        <v>#REF!</v>
      </c>
      <c r="DM1" s="34" t="e">
        <f>AND(#REF!,"AAAAAHX/9nQ=")</f>
        <v>#REF!</v>
      </c>
      <c r="DN1" s="34" t="e">
        <f>AND(#REF!,"AAAAAHX/9nU=")</f>
        <v>#REF!</v>
      </c>
      <c r="DO1" s="34" t="e">
        <f>AND(#REF!,"AAAAAHX/9nY=")</f>
        <v>#REF!</v>
      </c>
      <c r="DP1" s="34" t="e">
        <f>AND(#REF!,"AAAAAHX/9nc=")</f>
        <v>#REF!</v>
      </c>
      <c r="DQ1" s="34" t="e">
        <f>IF(#REF!,"AAAAAHX/9ng=",0)</f>
        <v>#REF!</v>
      </c>
      <c r="DR1" s="34" t="e">
        <f>AND(#REF!,"AAAAAHX/9nk=")</f>
        <v>#REF!</v>
      </c>
      <c r="DS1" s="34" t="e">
        <f>AND(#REF!,"AAAAAHX/9no=")</f>
        <v>#REF!</v>
      </c>
      <c r="DT1" s="34" t="e">
        <f>AND(#REF!,"AAAAAHX/9ns=")</f>
        <v>#REF!</v>
      </c>
      <c r="DU1" s="34" t="e">
        <f>AND(#REF!,"AAAAAHX/9nw=")</f>
        <v>#REF!</v>
      </c>
      <c r="DV1" s="34" t="e">
        <f>AND(#REF!,"AAAAAHX/9n0=")</f>
        <v>#REF!</v>
      </c>
      <c r="DW1" s="34" t="e">
        <f>AND(#REF!,"AAAAAHX/9n4=")</f>
        <v>#REF!</v>
      </c>
      <c r="DX1" s="34" t="e">
        <f>AND(#REF!,"AAAAAHX/9n8=")</f>
        <v>#REF!</v>
      </c>
      <c r="DY1" s="34" t="e">
        <f>AND(#REF!,"AAAAAHX/9oA=")</f>
        <v>#REF!</v>
      </c>
      <c r="DZ1" s="34" t="e">
        <f>AND(#REF!,"AAAAAHX/9oE=")</f>
        <v>#REF!</v>
      </c>
      <c r="EA1" s="34" t="e">
        <f>AND(#REF!,"AAAAAHX/9oI=")</f>
        <v>#REF!</v>
      </c>
      <c r="EB1" s="34" t="e">
        <f>AND(#REF!,"AAAAAHX/9oM=")</f>
        <v>#REF!</v>
      </c>
      <c r="EC1" s="34" t="e">
        <f>AND(#REF!,"AAAAAHX/9oQ=")</f>
        <v>#REF!</v>
      </c>
      <c r="ED1" s="34" t="e">
        <f>AND(#REF!,"AAAAAHX/9oU=")</f>
        <v>#REF!</v>
      </c>
      <c r="EE1" s="34" t="e">
        <f>AND(#REF!,"AAAAAHX/9oY=")</f>
        <v>#REF!</v>
      </c>
      <c r="EF1" s="34" t="e">
        <f>IF(#REF!,"AAAAAHX/9oc=",0)</f>
        <v>#REF!</v>
      </c>
      <c r="EG1" s="34" t="e">
        <f>AND(#REF!,"AAAAAHX/9og=")</f>
        <v>#REF!</v>
      </c>
      <c r="EH1" s="34" t="e">
        <f>AND(#REF!,"AAAAAHX/9ok=")</f>
        <v>#REF!</v>
      </c>
      <c r="EI1" s="34" t="e">
        <f>AND(#REF!,"AAAAAHX/9oo=")</f>
        <v>#REF!</v>
      </c>
      <c r="EJ1" s="34" t="e">
        <f>AND(#REF!,"AAAAAHX/9os=")</f>
        <v>#REF!</v>
      </c>
      <c r="EK1" s="34" t="e">
        <f>AND(#REF!,"AAAAAHX/9ow=")</f>
        <v>#REF!</v>
      </c>
      <c r="EL1" s="34" t="e">
        <f>AND(#REF!,"AAAAAHX/9o0=")</f>
        <v>#REF!</v>
      </c>
      <c r="EM1" s="34" t="e">
        <f>AND(#REF!,"AAAAAHX/9o4=")</f>
        <v>#REF!</v>
      </c>
      <c r="EN1" s="34" t="e">
        <f>AND(#REF!,"AAAAAHX/9o8=")</f>
        <v>#REF!</v>
      </c>
      <c r="EO1" s="34" t="e">
        <f>AND(#REF!,"AAAAAHX/9pA=")</f>
        <v>#REF!</v>
      </c>
      <c r="EP1" s="34" t="e">
        <f>AND(#REF!,"AAAAAHX/9pE=")</f>
        <v>#REF!</v>
      </c>
      <c r="EQ1" s="34" t="e">
        <f>AND(#REF!,"AAAAAHX/9pI=")</f>
        <v>#REF!</v>
      </c>
      <c r="ER1" s="34" t="e">
        <f>AND(#REF!,"AAAAAHX/9pM=")</f>
        <v>#REF!</v>
      </c>
      <c r="ES1" s="34" t="e">
        <f>AND(#REF!,"AAAAAHX/9pQ=")</f>
        <v>#REF!</v>
      </c>
      <c r="ET1" s="34" t="e">
        <f>AND(#REF!,"AAAAAHX/9pU=")</f>
        <v>#REF!</v>
      </c>
      <c r="EU1" s="34" t="e">
        <f>IF(#REF!,"AAAAAHX/9pY=",0)</f>
        <v>#REF!</v>
      </c>
      <c r="EV1" s="34" t="e">
        <f>AND(#REF!,"AAAAAHX/9pc=")</f>
        <v>#REF!</v>
      </c>
      <c r="EW1" s="34" t="e">
        <f>AND(#REF!,"AAAAAHX/9pg=")</f>
        <v>#REF!</v>
      </c>
      <c r="EX1" s="34" t="e">
        <f>AND(#REF!,"AAAAAHX/9pk=")</f>
        <v>#REF!</v>
      </c>
      <c r="EY1" s="34" t="e">
        <f>AND(#REF!,"AAAAAHX/9po=")</f>
        <v>#REF!</v>
      </c>
      <c r="EZ1" s="34" t="e">
        <f>AND(#REF!,"AAAAAHX/9ps=")</f>
        <v>#REF!</v>
      </c>
      <c r="FA1" s="34" t="e">
        <f>AND(#REF!,"AAAAAHX/9pw=")</f>
        <v>#REF!</v>
      </c>
      <c r="FB1" s="34" t="e">
        <f>AND(#REF!,"AAAAAHX/9p0=")</f>
        <v>#REF!</v>
      </c>
      <c r="FC1" s="34" t="e">
        <f>AND(#REF!,"AAAAAHX/9p4=")</f>
        <v>#REF!</v>
      </c>
      <c r="FD1" s="34" t="e">
        <f>AND(#REF!,"AAAAAHX/9p8=")</f>
        <v>#REF!</v>
      </c>
      <c r="FE1" s="34" t="e">
        <f>AND(#REF!,"AAAAAHX/9qA=")</f>
        <v>#REF!</v>
      </c>
      <c r="FF1" s="34" t="e">
        <f>AND(#REF!,"AAAAAHX/9qE=")</f>
        <v>#REF!</v>
      </c>
      <c r="FG1" s="34" t="e">
        <f>AND(#REF!,"AAAAAHX/9qI=")</f>
        <v>#REF!</v>
      </c>
      <c r="FH1" s="34" t="e">
        <f>AND(#REF!,"AAAAAHX/9qM=")</f>
        <v>#REF!</v>
      </c>
      <c r="FI1" s="34" t="e">
        <f>AND(#REF!,"AAAAAHX/9qQ=")</f>
        <v>#REF!</v>
      </c>
      <c r="FJ1" s="34" t="e">
        <f>IF(#REF!,"AAAAAHX/9qU=",0)</f>
        <v>#REF!</v>
      </c>
      <c r="FK1" s="34" t="e">
        <f>AND(#REF!,"AAAAAHX/9qY=")</f>
        <v>#REF!</v>
      </c>
      <c r="FL1" s="34" t="e">
        <f>AND(#REF!,"AAAAAHX/9qc=")</f>
        <v>#REF!</v>
      </c>
      <c r="FM1" s="34" t="e">
        <f>AND(#REF!,"AAAAAHX/9qg=")</f>
        <v>#REF!</v>
      </c>
      <c r="FN1" s="34" t="e">
        <f>AND(#REF!,"AAAAAHX/9qk=")</f>
        <v>#REF!</v>
      </c>
      <c r="FO1" s="34" t="e">
        <f>AND(#REF!,"AAAAAHX/9qo=")</f>
        <v>#REF!</v>
      </c>
      <c r="FP1" s="34" t="e">
        <f>AND(#REF!,"AAAAAHX/9qs=")</f>
        <v>#REF!</v>
      </c>
      <c r="FQ1" s="34" t="e">
        <f>AND(#REF!,"AAAAAHX/9qw=")</f>
        <v>#REF!</v>
      </c>
      <c r="FR1" s="34" t="e">
        <f>AND(#REF!,"AAAAAHX/9q0=")</f>
        <v>#REF!</v>
      </c>
      <c r="FS1" s="34" t="e">
        <f>AND(#REF!,"AAAAAHX/9q4=")</f>
        <v>#REF!</v>
      </c>
      <c r="FT1" s="34" t="e">
        <f>AND(#REF!,"AAAAAHX/9q8=")</f>
        <v>#REF!</v>
      </c>
      <c r="FU1" s="34" t="e">
        <f>AND(#REF!,"AAAAAHX/9rA=")</f>
        <v>#REF!</v>
      </c>
      <c r="FV1" s="34" t="e">
        <f>AND(#REF!,"AAAAAHX/9rE=")</f>
        <v>#REF!</v>
      </c>
      <c r="FW1" s="34" t="e">
        <f>AND(#REF!,"AAAAAHX/9rI=")</f>
        <v>#REF!</v>
      </c>
      <c r="FX1" s="34" t="e">
        <f>AND(#REF!,"AAAAAHX/9rM=")</f>
        <v>#REF!</v>
      </c>
      <c r="FY1" s="34" t="e">
        <f>IF(#REF!,"AAAAAHX/9rQ=",0)</f>
        <v>#REF!</v>
      </c>
      <c r="FZ1" s="34" t="e">
        <f>AND(#REF!,"AAAAAHX/9rU=")</f>
        <v>#REF!</v>
      </c>
      <c r="GA1" s="34" t="e">
        <f>AND(#REF!,"AAAAAHX/9rY=")</f>
        <v>#REF!</v>
      </c>
      <c r="GB1" s="34" t="e">
        <f>AND(#REF!,"AAAAAHX/9rc=")</f>
        <v>#REF!</v>
      </c>
      <c r="GC1" s="34" t="e">
        <f>AND(#REF!,"AAAAAHX/9rg=")</f>
        <v>#REF!</v>
      </c>
      <c r="GD1" s="34" t="e">
        <f>AND(#REF!,"AAAAAHX/9rk=")</f>
        <v>#REF!</v>
      </c>
      <c r="GE1" s="34" t="e">
        <f>AND(#REF!,"AAAAAHX/9ro=")</f>
        <v>#REF!</v>
      </c>
      <c r="GF1" s="34" t="e">
        <f>AND(#REF!,"AAAAAHX/9rs=")</f>
        <v>#REF!</v>
      </c>
      <c r="GG1" s="34" t="e">
        <f>AND(#REF!,"AAAAAHX/9rw=")</f>
        <v>#REF!</v>
      </c>
      <c r="GH1" s="34" t="e">
        <f>AND(#REF!,"AAAAAHX/9r0=")</f>
        <v>#REF!</v>
      </c>
      <c r="GI1" s="34" t="e">
        <f>AND(#REF!,"AAAAAHX/9r4=")</f>
        <v>#REF!</v>
      </c>
      <c r="GJ1" s="34" t="e">
        <f>AND(#REF!,"AAAAAHX/9r8=")</f>
        <v>#REF!</v>
      </c>
      <c r="GK1" s="34" t="e">
        <f>AND(#REF!,"AAAAAHX/9sA=")</f>
        <v>#REF!</v>
      </c>
      <c r="GL1" s="34" t="e">
        <f>AND(#REF!,"AAAAAHX/9sE=")</f>
        <v>#REF!</v>
      </c>
      <c r="GM1" s="34" t="e">
        <f>AND(#REF!,"AAAAAHX/9sI=")</f>
        <v>#REF!</v>
      </c>
      <c r="GN1" s="34" t="e">
        <f>IF(#REF!,"AAAAAHX/9sM=",0)</f>
        <v>#REF!</v>
      </c>
      <c r="GO1" s="34" t="e">
        <f>AND(#REF!,"AAAAAHX/9sQ=")</f>
        <v>#REF!</v>
      </c>
      <c r="GP1" s="34" t="e">
        <f>AND(#REF!,"AAAAAHX/9sU=")</f>
        <v>#REF!</v>
      </c>
      <c r="GQ1" s="34" t="e">
        <f>AND(#REF!,"AAAAAHX/9sY=")</f>
        <v>#REF!</v>
      </c>
      <c r="GR1" s="34" t="e">
        <f>AND(#REF!,"AAAAAHX/9sc=")</f>
        <v>#REF!</v>
      </c>
      <c r="GS1" s="34" t="e">
        <f>AND(#REF!,"AAAAAHX/9sg=")</f>
        <v>#REF!</v>
      </c>
      <c r="GT1" s="34" t="e">
        <f>AND(#REF!,"AAAAAHX/9sk=")</f>
        <v>#REF!</v>
      </c>
      <c r="GU1" s="34" t="e">
        <f>AND(#REF!,"AAAAAHX/9so=")</f>
        <v>#REF!</v>
      </c>
      <c r="GV1" s="34" t="e">
        <f>AND(#REF!,"AAAAAHX/9ss=")</f>
        <v>#REF!</v>
      </c>
      <c r="GW1" s="34" t="e">
        <f>AND(#REF!,"AAAAAHX/9sw=")</f>
        <v>#REF!</v>
      </c>
      <c r="GX1" s="34" t="e">
        <f>AND(#REF!,"AAAAAHX/9s0=")</f>
        <v>#REF!</v>
      </c>
      <c r="GY1" s="34" t="e">
        <f>AND(#REF!,"AAAAAHX/9s4=")</f>
        <v>#REF!</v>
      </c>
      <c r="GZ1" s="34" t="e">
        <f>AND(#REF!,"AAAAAHX/9s8=")</f>
        <v>#REF!</v>
      </c>
      <c r="HA1" s="34" t="e">
        <f>AND(#REF!,"AAAAAHX/9tA=")</f>
        <v>#REF!</v>
      </c>
      <c r="HB1" s="34" t="e">
        <f>AND(#REF!,"AAAAAHX/9tE=")</f>
        <v>#REF!</v>
      </c>
      <c r="HC1" s="34" t="e">
        <f>IF(#REF!,"AAAAAHX/9tI=",0)</f>
        <v>#REF!</v>
      </c>
      <c r="HD1" s="34" t="e">
        <f>AND(#REF!,"AAAAAHX/9tM=")</f>
        <v>#REF!</v>
      </c>
      <c r="HE1" s="34" t="e">
        <f>AND(#REF!,"AAAAAHX/9tQ=")</f>
        <v>#REF!</v>
      </c>
      <c r="HF1" s="34" t="e">
        <f>AND(#REF!,"AAAAAHX/9tU=")</f>
        <v>#REF!</v>
      </c>
      <c r="HG1" s="34" t="e">
        <f>AND(#REF!,"AAAAAHX/9tY=")</f>
        <v>#REF!</v>
      </c>
      <c r="HH1" s="34" t="e">
        <f>AND(#REF!,"AAAAAHX/9tc=")</f>
        <v>#REF!</v>
      </c>
      <c r="HI1" s="34" t="e">
        <f>AND(#REF!,"AAAAAHX/9tg=")</f>
        <v>#REF!</v>
      </c>
      <c r="HJ1" s="34" t="e">
        <f>AND(#REF!,"AAAAAHX/9tk=")</f>
        <v>#REF!</v>
      </c>
      <c r="HK1" s="34" t="e">
        <f>AND(#REF!,"AAAAAHX/9to=")</f>
        <v>#REF!</v>
      </c>
      <c r="HL1" s="34" t="e">
        <f>AND(#REF!,"AAAAAHX/9ts=")</f>
        <v>#REF!</v>
      </c>
      <c r="HM1" s="34" t="e">
        <f>AND(#REF!,"AAAAAHX/9tw=")</f>
        <v>#REF!</v>
      </c>
      <c r="HN1" s="34" t="e">
        <f>AND(#REF!,"AAAAAHX/9t0=")</f>
        <v>#REF!</v>
      </c>
      <c r="HO1" s="34" t="e">
        <f>AND(#REF!,"AAAAAHX/9t4=")</f>
        <v>#REF!</v>
      </c>
      <c r="HP1" s="34" t="e">
        <f>AND(#REF!,"AAAAAHX/9t8=")</f>
        <v>#REF!</v>
      </c>
      <c r="HQ1" s="34" t="e">
        <f>AND(#REF!,"AAAAAHX/9uA=")</f>
        <v>#REF!</v>
      </c>
      <c r="HR1" s="34" t="e">
        <f>IF(#REF!,"AAAAAHX/9uE=",0)</f>
        <v>#REF!</v>
      </c>
      <c r="HS1" s="34" t="e">
        <f>AND(#REF!,"AAAAAHX/9uI=")</f>
        <v>#REF!</v>
      </c>
      <c r="HT1" s="34" t="e">
        <f>AND(#REF!,"AAAAAHX/9uM=")</f>
        <v>#REF!</v>
      </c>
      <c r="HU1" s="34" t="e">
        <f>AND(#REF!,"AAAAAHX/9uQ=")</f>
        <v>#REF!</v>
      </c>
      <c r="HV1" s="34" t="e">
        <f>AND(#REF!,"AAAAAHX/9uU=")</f>
        <v>#REF!</v>
      </c>
      <c r="HW1" s="34" t="e">
        <f>AND(#REF!,"AAAAAHX/9uY=")</f>
        <v>#REF!</v>
      </c>
      <c r="HX1" s="34" t="e">
        <f>AND(#REF!,"AAAAAHX/9uc=")</f>
        <v>#REF!</v>
      </c>
      <c r="HY1" s="34" t="e">
        <f>AND(#REF!,"AAAAAHX/9ug=")</f>
        <v>#REF!</v>
      </c>
      <c r="HZ1" s="34" t="e">
        <f>AND(#REF!,"AAAAAHX/9uk=")</f>
        <v>#REF!</v>
      </c>
      <c r="IA1" s="34" t="e">
        <f>AND(#REF!,"AAAAAHX/9uo=")</f>
        <v>#REF!</v>
      </c>
      <c r="IB1" s="34" t="e">
        <f>AND(#REF!,"AAAAAHX/9us=")</f>
        <v>#REF!</v>
      </c>
      <c r="IC1" s="34" t="e">
        <f>AND(#REF!,"AAAAAHX/9uw=")</f>
        <v>#REF!</v>
      </c>
      <c r="ID1" s="34" t="e">
        <f>AND(#REF!,"AAAAAHX/9u0=")</f>
        <v>#REF!</v>
      </c>
      <c r="IE1" s="34" t="e">
        <f>AND(#REF!,"AAAAAHX/9u4=")</f>
        <v>#REF!</v>
      </c>
      <c r="IF1" s="34" t="e">
        <f>AND(#REF!,"AAAAAHX/9u8=")</f>
        <v>#REF!</v>
      </c>
      <c r="IG1" s="34" t="e">
        <f>IF(#REF!,"AAAAAHX/9vA=",0)</f>
        <v>#REF!</v>
      </c>
      <c r="IH1" s="34" t="e">
        <f>AND(#REF!,"AAAAAHX/9vE=")</f>
        <v>#REF!</v>
      </c>
      <c r="II1" s="34" t="e">
        <f>AND(#REF!,"AAAAAHX/9vI=")</f>
        <v>#REF!</v>
      </c>
      <c r="IJ1" s="34" t="e">
        <f>AND(#REF!,"AAAAAHX/9vM=")</f>
        <v>#REF!</v>
      </c>
      <c r="IK1" s="34" t="e">
        <f>AND(#REF!,"AAAAAHX/9vQ=")</f>
        <v>#REF!</v>
      </c>
      <c r="IL1" s="34" t="e">
        <f>AND(#REF!,"AAAAAHX/9vU=")</f>
        <v>#REF!</v>
      </c>
      <c r="IM1" s="34" t="e">
        <f>AND(#REF!,"AAAAAHX/9vY=")</f>
        <v>#REF!</v>
      </c>
      <c r="IN1" s="34" t="e">
        <f>AND(#REF!,"AAAAAHX/9vc=")</f>
        <v>#REF!</v>
      </c>
      <c r="IO1" s="34" t="e">
        <f>AND(#REF!,"AAAAAHX/9vg=")</f>
        <v>#REF!</v>
      </c>
      <c r="IP1" s="34" t="e">
        <f>AND(#REF!,"AAAAAHX/9vk=")</f>
        <v>#REF!</v>
      </c>
      <c r="IQ1" s="34" t="e">
        <f>AND(#REF!,"AAAAAHX/9vo=")</f>
        <v>#REF!</v>
      </c>
      <c r="IR1" s="34" t="e">
        <f>AND(#REF!,"AAAAAHX/9vs=")</f>
        <v>#REF!</v>
      </c>
      <c r="IS1" s="34" t="e">
        <f>AND(#REF!,"AAAAAHX/9vw=")</f>
        <v>#REF!</v>
      </c>
      <c r="IT1" s="34" t="e">
        <f>AND(#REF!,"AAAAAHX/9v0=")</f>
        <v>#REF!</v>
      </c>
      <c r="IU1" s="34" t="e">
        <f>AND(#REF!,"AAAAAHX/9v4=")</f>
        <v>#REF!</v>
      </c>
      <c r="IV1" s="34" t="e">
        <f>IF(#REF!,"AAAAAHX/9v8=",0)</f>
        <v>#REF!</v>
      </c>
    </row>
    <row r="2" spans="1:256" ht="12.75" customHeight="1" x14ac:dyDescent="0.2">
      <c r="A2" s="34" t="e">
        <f>AND(#REF!,"AAAAAH23dwA=")</f>
        <v>#REF!</v>
      </c>
      <c r="B2" s="34" t="e">
        <f>AND(#REF!,"AAAAAH23dwE=")</f>
        <v>#REF!</v>
      </c>
      <c r="C2" s="34" t="e">
        <f>AND(#REF!,"AAAAAH23dwI=")</f>
        <v>#REF!</v>
      </c>
      <c r="D2" s="34" t="e">
        <f>AND(#REF!,"AAAAAH23dwM=")</f>
        <v>#REF!</v>
      </c>
      <c r="E2" s="34" t="e">
        <f>AND(#REF!,"AAAAAH23dwQ=")</f>
        <v>#REF!</v>
      </c>
      <c r="F2" s="34" t="e">
        <f>AND(#REF!,"AAAAAH23dwU=")</f>
        <v>#REF!</v>
      </c>
      <c r="G2" s="34" t="e">
        <f>AND(#REF!,"AAAAAH23dwY=")</f>
        <v>#REF!</v>
      </c>
      <c r="H2" s="34" t="e">
        <f>AND(#REF!,"AAAAAH23dwc=")</f>
        <v>#REF!</v>
      </c>
      <c r="I2" s="34" t="e">
        <f>AND(#REF!,"AAAAAH23dwg=")</f>
        <v>#REF!</v>
      </c>
      <c r="J2" s="34" t="e">
        <f>AND(#REF!,"AAAAAH23dwk=")</f>
        <v>#REF!</v>
      </c>
      <c r="K2" s="34" t="e">
        <f>AND(#REF!,"AAAAAH23dwo=")</f>
        <v>#REF!</v>
      </c>
      <c r="L2" s="34" t="e">
        <f>AND(#REF!,"AAAAAH23dws=")</f>
        <v>#REF!</v>
      </c>
      <c r="M2" s="34" t="e">
        <f>AND(#REF!,"AAAAAH23dww=")</f>
        <v>#REF!</v>
      </c>
      <c r="N2" s="34" t="e">
        <f>AND(#REF!,"AAAAAH23dw0=")</f>
        <v>#REF!</v>
      </c>
      <c r="O2" s="34" t="e">
        <f>IF(#REF!,"AAAAAH23dw4=",0)</f>
        <v>#REF!</v>
      </c>
      <c r="P2" s="34" t="e">
        <f>AND(#REF!,"AAAAAH23dw8=")</f>
        <v>#REF!</v>
      </c>
      <c r="Q2" s="34" t="e">
        <f>IF(#REF!,"AAAAAH23dxA=",0)</f>
        <v>#REF!</v>
      </c>
      <c r="R2" s="34" t="e">
        <f>AND(#REF!,"AAAAAH23dxE=")</f>
        <v>#REF!</v>
      </c>
      <c r="S2" s="34" t="e">
        <f>IF(#REF!,"AAAAAH23dxI=",0)</f>
        <v>#REF!</v>
      </c>
      <c r="T2" s="34" t="e">
        <f>AND(#REF!,"AAAAAH23dxM=")</f>
        <v>#REF!</v>
      </c>
      <c r="U2" s="34" t="e">
        <f>IF(#REF!,"AAAAAH23dxQ=",0)</f>
        <v>#REF!</v>
      </c>
      <c r="V2" s="34" t="e">
        <f>AND(#REF!,"AAAAAH23dxU=")</f>
        <v>#REF!</v>
      </c>
      <c r="W2" s="34" t="e">
        <f>IF(#REF!,"AAAAAH23dxY=",0)</f>
        <v>#REF!</v>
      </c>
      <c r="X2" s="34" t="e">
        <f>AND(#REF!,"AAAAAH23dxc=")</f>
        <v>#REF!</v>
      </c>
      <c r="Y2" s="34" t="e">
        <f>IF(#REF!,"AAAAAH23dxg=",0)</f>
        <v>#REF!</v>
      </c>
      <c r="Z2" s="34" t="e">
        <f>AND(#REF!,"AAAAAH23dxk=")</f>
        <v>#REF!</v>
      </c>
      <c r="AA2" s="34" t="e">
        <f>IF(#REF!,"AAAAAH23dxo=",0)</f>
        <v>#REF!</v>
      </c>
      <c r="AB2" s="34" t="e">
        <f>AND(#REF!,"AAAAAH23dxs=")</f>
        <v>#REF!</v>
      </c>
      <c r="AC2" s="34" t="e">
        <f>IF(#REF!,"AAAAAH23dxw=",0)</f>
        <v>#REF!</v>
      </c>
      <c r="AD2" s="34" t="e">
        <f>AND(#REF!,"AAAAAH23dx0=")</f>
        <v>#REF!</v>
      </c>
      <c r="AE2" s="34" t="e">
        <f>IF(#REF!,"AAAAAH23dx4=",0)</f>
        <v>#REF!</v>
      </c>
      <c r="AF2" s="34" t="e">
        <f>AND(#REF!,"AAAAAH23dx8=")</f>
        <v>#REF!</v>
      </c>
      <c r="AG2" s="34" t="e">
        <f>IF(#REF!,"AAAAAH23dyA=",0)</f>
        <v>#REF!</v>
      </c>
      <c r="AH2" s="34" t="e">
        <f>AND(#REF!,"AAAAAH23dyE=")</f>
        <v>#REF!</v>
      </c>
      <c r="AI2" s="34" t="e">
        <f>IF(#REF!,"AAAAAH23dyI=",0)</f>
        <v>#REF!</v>
      </c>
      <c r="AJ2" s="34" t="e">
        <f>AND(#REF!,"AAAAAH23dyM=")</f>
        <v>#REF!</v>
      </c>
      <c r="AK2" s="34" t="e">
        <f>IF(#REF!,"AAAAAH23dyQ=",0)</f>
        <v>#REF!</v>
      </c>
      <c r="AL2" s="34" t="e">
        <f>AND(#REF!,"AAAAAH23dyU=")</f>
        <v>#REF!</v>
      </c>
      <c r="AM2" s="34" t="e">
        <f>IF(#REF!,"AAAAAH23dyY=",0)</f>
        <v>#REF!</v>
      </c>
      <c r="AN2" s="34" t="e">
        <f>IF(#REF!,"AAAAAH23dyc=",0)</f>
        <v>#REF!</v>
      </c>
      <c r="AO2" s="34" t="e">
        <f>IF(#REF!,"AAAAAH23dyg=",0)</f>
        <v>#REF!</v>
      </c>
      <c r="AP2" s="34" t="e">
        <f>IF(#REF!,"AAAAAH23dyk=",0)</f>
        <v>#REF!</v>
      </c>
      <c r="AQ2" s="34" t="e">
        <f>IF(#REF!,"AAAAAH23dyo=",0)</f>
        <v>#REF!</v>
      </c>
      <c r="AR2" s="34" t="e">
        <f>IF(#REF!,"AAAAAH23dys=",0)</f>
        <v>#REF!</v>
      </c>
      <c r="AS2" s="34" t="e">
        <f>IF(#REF!,"AAAAAH23dyw=",0)</f>
        <v>#REF!</v>
      </c>
      <c r="AT2" s="34" t="e">
        <f>IF(#REF!,"AAAAAH23dy0=",0)</f>
        <v>#REF!</v>
      </c>
      <c r="AU2" s="34" t="e">
        <f>IF(#REF!,"AAAAAH23dy4=",0)</f>
        <v>#REF!</v>
      </c>
      <c r="AV2" s="34" t="e">
        <f>IF(#REF!,"AAAAAH23dy8=",0)</f>
        <v>#REF!</v>
      </c>
      <c r="AW2" s="34" t="e">
        <f>IF(#REF!,"AAAAAH23dzA=",0)</f>
        <v>#REF!</v>
      </c>
      <c r="AX2" s="34" t="e">
        <f>IF(#REF!,"AAAAAH23dzE=",0)</f>
        <v>#REF!</v>
      </c>
      <c r="AY2" s="34" t="e">
        <f>IF(#REF!,"AAAAAH23dzI=",0)</f>
        <v>#REF!</v>
      </c>
      <c r="AZ2" s="34" t="e">
        <f>IF(#REF!,"AAAAAH23dzM=",0)</f>
        <v>#REF!</v>
      </c>
      <c r="BA2" s="34" t="e">
        <f>IF(#REF!,"AAAAAH23dzQ=",0)</f>
        <v>#REF!</v>
      </c>
      <c r="BB2" s="34" t="e">
        <f>AND(#REF!,"AAAAAH23dzU=")</f>
        <v>#REF!</v>
      </c>
      <c r="BC2" s="34" t="e">
        <f>AND(#REF!,"AAAAAH23dzY=")</f>
        <v>#REF!</v>
      </c>
      <c r="BD2" s="34" t="e">
        <f>AND(#REF!,"AAAAAH23dzc=")</f>
        <v>#REF!</v>
      </c>
      <c r="BE2" s="34" t="e">
        <f>AND(#REF!,"AAAAAH23dzg=")</f>
        <v>#REF!</v>
      </c>
      <c r="BF2" s="34" t="e">
        <f>AND(#REF!,"AAAAAH23dzk=")</f>
        <v>#REF!</v>
      </c>
      <c r="BG2" s="34" t="e">
        <f>AND(#REF!,"AAAAAH23dzo=")</f>
        <v>#REF!</v>
      </c>
      <c r="BH2" s="34" t="e">
        <f>AND(#REF!,"AAAAAH23dzs=")</f>
        <v>#REF!</v>
      </c>
      <c r="BI2" s="34" t="e">
        <f>AND(#REF!,"AAAAAH23dzw=")</f>
        <v>#REF!</v>
      </c>
      <c r="BJ2" s="34" t="e">
        <f>AND(#REF!,"AAAAAH23dz0=")</f>
        <v>#REF!</v>
      </c>
      <c r="BK2" s="34" t="e">
        <f>AND(#REF!,"AAAAAH23dz4=")</f>
        <v>#REF!</v>
      </c>
      <c r="BL2" s="34" t="e">
        <f>AND(#REF!,"AAAAAH23dz8=")</f>
        <v>#REF!</v>
      </c>
      <c r="BM2" s="34" t="e">
        <f>AND(#REF!,"AAAAAH23d0A=")</f>
        <v>#REF!</v>
      </c>
      <c r="BN2" s="34" t="e">
        <f>AND(#REF!,"AAAAAH23d0E=")</f>
        <v>#REF!</v>
      </c>
      <c r="BO2" s="34" t="e">
        <f>AND(#REF!,"AAAAAH23d0I=")</f>
        <v>#REF!</v>
      </c>
      <c r="BP2" s="34" t="e">
        <f>AND(#REF!,"AAAAAH23d0M=")</f>
        <v>#REF!</v>
      </c>
      <c r="BQ2" s="34" t="e">
        <f>AND(#REF!,"AAAAAH23d0Q=")</f>
        <v>#REF!</v>
      </c>
      <c r="BR2" s="34" t="e">
        <f>AND(#REF!,"AAAAAH23d0U=")</f>
        <v>#REF!</v>
      </c>
      <c r="BS2" s="34" t="e">
        <f>AND(#REF!,"AAAAAH23d0Y=")</f>
        <v>#REF!</v>
      </c>
      <c r="BT2" s="34" t="e">
        <f>AND(#REF!,"AAAAAH23d0c=")</f>
        <v>#REF!</v>
      </c>
      <c r="BU2" s="34" t="e">
        <f>AND(#REF!,"AAAAAH23d0g=")</f>
        <v>#REF!</v>
      </c>
      <c r="BV2" s="34" t="e">
        <f>AND(#REF!,"AAAAAH23d0k=")</f>
        <v>#REF!</v>
      </c>
      <c r="BW2" s="34" t="e">
        <f>AND(#REF!,"AAAAAH23d0o=")</f>
        <v>#REF!</v>
      </c>
      <c r="BX2" s="34" t="e">
        <f>AND(#REF!,"AAAAAH23d0s=")</f>
        <v>#REF!</v>
      </c>
      <c r="BY2" s="34" t="e">
        <f>AND(#REF!,"AAAAAH23d0w=")</f>
        <v>#REF!</v>
      </c>
      <c r="BZ2" s="34" t="e">
        <f>AND(#REF!,"AAAAAH23d00=")</f>
        <v>#REF!</v>
      </c>
      <c r="CA2" s="34" t="e">
        <f>AND(#REF!,"AAAAAH23d04=")</f>
        <v>#REF!</v>
      </c>
      <c r="CB2" s="34" t="e">
        <f>AND(#REF!,"AAAAAH23d08=")</f>
        <v>#REF!</v>
      </c>
      <c r="CC2" s="34" t="e">
        <f>AND(#REF!,"AAAAAH23d1A=")</f>
        <v>#REF!</v>
      </c>
      <c r="CD2" s="34" t="e">
        <f>AND(#REF!,"AAAAAH23d1E=")</f>
        <v>#REF!</v>
      </c>
      <c r="CE2" s="34" t="e">
        <f>AND(#REF!,"AAAAAH23d1I=")</f>
        <v>#REF!</v>
      </c>
      <c r="CF2" s="34" t="e">
        <f>AND(#REF!,"AAAAAH23d1M=")</f>
        <v>#REF!</v>
      </c>
      <c r="CG2" s="34" t="e">
        <f>AND(#REF!,"AAAAAH23d1Q=")</f>
        <v>#REF!</v>
      </c>
      <c r="CH2" s="34" t="e">
        <f>AND(#REF!,"AAAAAH23d1U=")</f>
        <v>#REF!</v>
      </c>
      <c r="CI2" s="34" t="e">
        <f>AND(#REF!,"AAAAAH23d1Y=")</f>
        <v>#REF!</v>
      </c>
      <c r="CJ2" s="34" t="e">
        <f>AND(#REF!,"AAAAAH23d1c=")</f>
        <v>#REF!</v>
      </c>
      <c r="CK2" s="34" t="e">
        <f>AND(#REF!,"AAAAAH23d1g=")</f>
        <v>#REF!</v>
      </c>
      <c r="CL2" s="34" t="e">
        <f>AND(#REF!,"AAAAAH23d1k=")</f>
        <v>#REF!</v>
      </c>
      <c r="CM2" s="34" t="e">
        <f>AND(#REF!,"AAAAAH23d1o=")</f>
        <v>#REF!</v>
      </c>
      <c r="CN2" s="34" t="e">
        <f>AND(#REF!,"AAAAAH23d1s=")</f>
        <v>#REF!</v>
      </c>
      <c r="CO2" s="34" t="e">
        <f>AND(#REF!,"AAAAAH23d1w=")</f>
        <v>#REF!</v>
      </c>
      <c r="CP2" s="34" t="e">
        <f>AND(#REF!,"AAAAAH23d10=")</f>
        <v>#REF!</v>
      </c>
      <c r="CQ2" s="34" t="e">
        <f>AND(#REF!,"AAAAAH23d14=")</f>
        <v>#REF!</v>
      </c>
      <c r="CR2" s="34" t="e">
        <f>AND(#REF!,"AAAAAH23d18=")</f>
        <v>#REF!</v>
      </c>
      <c r="CS2" s="34" t="e">
        <f>AND(#REF!,"AAAAAH23d2A=")</f>
        <v>#REF!</v>
      </c>
      <c r="CT2" s="34" t="e">
        <f>AND(#REF!,"AAAAAH23d2E=")</f>
        <v>#REF!</v>
      </c>
      <c r="CU2" s="34" t="e">
        <f>IF(#REF!,"AAAAAH23d2I=",0)</f>
        <v>#REF!</v>
      </c>
      <c r="CV2" s="34" t="e">
        <f>AND(#REF!,"AAAAAH23d2M=")</f>
        <v>#REF!</v>
      </c>
      <c r="CW2" s="34" t="e">
        <f>AND(#REF!,"AAAAAH23d2Q=")</f>
        <v>#REF!</v>
      </c>
      <c r="CX2" s="34" t="e">
        <f>AND(#REF!,"AAAAAH23d2U=")</f>
        <v>#REF!</v>
      </c>
      <c r="CY2" s="34" t="e">
        <f>AND(#REF!,"AAAAAH23d2Y=")</f>
        <v>#REF!</v>
      </c>
      <c r="CZ2" s="34" t="e">
        <f>AND(#REF!,"AAAAAH23d2c=")</f>
        <v>#REF!</v>
      </c>
      <c r="DA2" s="34" t="e">
        <f>AND(#REF!,"AAAAAH23d2g=")</f>
        <v>#REF!</v>
      </c>
      <c r="DB2" s="34" t="e">
        <f>AND(#REF!,"AAAAAH23d2k=")</f>
        <v>#REF!</v>
      </c>
      <c r="DC2" s="34" t="e">
        <f>AND(#REF!,"AAAAAH23d2o=")</f>
        <v>#REF!</v>
      </c>
      <c r="DD2" s="34" t="e">
        <f>AND(#REF!,"AAAAAH23d2s=")</f>
        <v>#REF!</v>
      </c>
      <c r="DE2" s="34" t="e">
        <f>AND(#REF!,"AAAAAH23d2w=")</f>
        <v>#REF!</v>
      </c>
      <c r="DF2" s="34" t="e">
        <f>AND(#REF!,"AAAAAH23d20=")</f>
        <v>#REF!</v>
      </c>
      <c r="DG2" s="34" t="e">
        <f>AND(#REF!,"AAAAAH23d24=")</f>
        <v>#REF!</v>
      </c>
      <c r="DH2" s="34" t="e">
        <f>AND(#REF!,"AAAAAH23d28=")</f>
        <v>#REF!</v>
      </c>
      <c r="DI2" s="34" t="e">
        <f>AND(#REF!,"AAAAAH23d3A=")</f>
        <v>#REF!</v>
      </c>
      <c r="DJ2" s="34" t="e">
        <f>AND(#REF!,"AAAAAH23d3E=")</f>
        <v>#REF!</v>
      </c>
      <c r="DK2" s="34" t="e">
        <f>AND(#REF!,"AAAAAH23d3I=")</f>
        <v>#REF!</v>
      </c>
      <c r="DL2" s="34" t="e">
        <f>AND(#REF!,"AAAAAH23d3M=")</f>
        <v>#REF!</v>
      </c>
      <c r="DM2" s="34" t="e">
        <f>AND(#REF!,"AAAAAH23d3Q=")</f>
        <v>#REF!</v>
      </c>
      <c r="DN2" s="34" t="e">
        <f>AND(#REF!,"AAAAAH23d3U=")</f>
        <v>#REF!</v>
      </c>
      <c r="DO2" s="34" t="e">
        <f>AND(#REF!,"AAAAAH23d3Y=")</f>
        <v>#REF!</v>
      </c>
      <c r="DP2" s="34" t="e">
        <f>AND(#REF!,"AAAAAH23d3c=")</f>
        <v>#REF!</v>
      </c>
      <c r="DQ2" s="34" t="e">
        <f>AND(#REF!,"AAAAAH23d3g=")</f>
        <v>#REF!</v>
      </c>
      <c r="DR2" s="34" t="e">
        <f>AND(#REF!,"AAAAAH23d3k=")</f>
        <v>#REF!</v>
      </c>
      <c r="DS2" s="34" t="e">
        <f>AND(#REF!,"AAAAAH23d3o=")</f>
        <v>#REF!</v>
      </c>
      <c r="DT2" s="34" t="e">
        <f>AND(#REF!,"AAAAAH23d3s=")</f>
        <v>#REF!</v>
      </c>
      <c r="DU2" s="34" t="e">
        <f>AND(#REF!,"AAAAAH23d3w=")</f>
        <v>#REF!</v>
      </c>
      <c r="DV2" s="34" t="e">
        <f>AND(#REF!,"AAAAAH23d30=")</f>
        <v>#REF!</v>
      </c>
      <c r="DW2" s="34" t="e">
        <f>AND(#REF!,"AAAAAH23d34=")</f>
        <v>#REF!</v>
      </c>
      <c r="DX2" s="34" t="e">
        <f>AND(#REF!,"AAAAAH23d38=")</f>
        <v>#REF!</v>
      </c>
      <c r="DY2" s="34" t="e">
        <f>AND(#REF!,"AAAAAH23d4A=")</f>
        <v>#REF!</v>
      </c>
      <c r="DZ2" s="34" t="e">
        <f>AND(#REF!,"AAAAAH23d4E=")</f>
        <v>#REF!</v>
      </c>
      <c r="EA2" s="34" t="e">
        <f>AND(#REF!,"AAAAAH23d4I=")</f>
        <v>#REF!</v>
      </c>
      <c r="EB2" s="34" t="e">
        <f>AND(#REF!,"AAAAAH23d4M=")</f>
        <v>#REF!</v>
      </c>
      <c r="EC2" s="34" t="e">
        <f>AND(#REF!,"AAAAAH23d4Q=")</f>
        <v>#REF!</v>
      </c>
      <c r="ED2" s="34" t="e">
        <f>AND(#REF!,"AAAAAH23d4U=")</f>
        <v>#REF!</v>
      </c>
      <c r="EE2" s="34" t="e">
        <f>AND(#REF!,"AAAAAH23d4Y=")</f>
        <v>#REF!</v>
      </c>
      <c r="EF2" s="34" t="e">
        <f>AND(#REF!,"AAAAAH23d4c=")</f>
        <v>#REF!</v>
      </c>
      <c r="EG2" s="34" t="e">
        <f>AND(#REF!,"AAAAAH23d4g=")</f>
        <v>#REF!</v>
      </c>
      <c r="EH2" s="34" t="e">
        <f>AND(#REF!,"AAAAAH23d4k=")</f>
        <v>#REF!</v>
      </c>
      <c r="EI2" s="34" t="e">
        <f>AND(#REF!,"AAAAAH23d4o=")</f>
        <v>#REF!</v>
      </c>
      <c r="EJ2" s="34" t="e">
        <f>AND(#REF!,"AAAAAH23d4s=")</f>
        <v>#REF!</v>
      </c>
      <c r="EK2" s="34" t="e">
        <f>AND(#REF!,"AAAAAH23d4w=")</f>
        <v>#REF!</v>
      </c>
      <c r="EL2" s="34" t="e">
        <f>AND(#REF!,"AAAAAH23d40=")</f>
        <v>#REF!</v>
      </c>
      <c r="EM2" s="34" t="e">
        <f>AND(#REF!,"AAAAAH23d44=")</f>
        <v>#REF!</v>
      </c>
      <c r="EN2" s="34" t="e">
        <f>AND(#REF!,"AAAAAH23d48=")</f>
        <v>#REF!</v>
      </c>
      <c r="EO2" s="34" t="e">
        <f>IF(#REF!,"AAAAAH23d5A=",0)</f>
        <v>#REF!</v>
      </c>
      <c r="EP2" s="34" t="e">
        <f>AND(#REF!,"AAAAAH23d5E=")</f>
        <v>#REF!</v>
      </c>
      <c r="EQ2" s="34" t="e">
        <f>AND(#REF!,"AAAAAH23d5I=")</f>
        <v>#REF!</v>
      </c>
      <c r="ER2" s="34" t="e">
        <f>AND(#REF!,"AAAAAH23d5M=")</f>
        <v>#REF!</v>
      </c>
      <c r="ES2" s="34" t="e">
        <f>AND(#REF!,"AAAAAH23d5Q=")</f>
        <v>#REF!</v>
      </c>
      <c r="ET2" s="34" t="e">
        <f>AND(#REF!,"AAAAAH23d5U=")</f>
        <v>#REF!</v>
      </c>
      <c r="EU2" s="34" t="e">
        <f>AND(#REF!,"AAAAAH23d5Y=")</f>
        <v>#REF!</v>
      </c>
      <c r="EV2" s="34" t="e">
        <f>AND(#REF!,"AAAAAH23d5c=")</f>
        <v>#REF!</v>
      </c>
      <c r="EW2" s="34" t="e">
        <f>AND(#REF!,"AAAAAH23d5g=")</f>
        <v>#REF!</v>
      </c>
      <c r="EX2" s="34" t="e">
        <f>AND(#REF!,"AAAAAH23d5k=")</f>
        <v>#REF!</v>
      </c>
      <c r="EY2" s="34" t="e">
        <f>AND(#REF!,"AAAAAH23d5o=")</f>
        <v>#REF!</v>
      </c>
      <c r="EZ2" s="34" t="e">
        <f>AND(#REF!,"AAAAAH23d5s=")</f>
        <v>#REF!</v>
      </c>
      <c r="FA2" s="34" t="e">
        <f>AND(#REF!,"AAAAAH23d5w=")</f>
        <v>#REF!</v>
      </c>
      <c r="FB2" s="34" t="e">
        <f>AND(#REF!,"AAAAAH23d50=")</f>
        <v>#REF!</v>
      </c>
      <c r="FC2" s="34" t="e">
        <f>AND(#REF!,"AAAAAH23d54=")</f>
        <v>#REF!</v>
      </c>
      <c r="FD2" s="34" t="e">
        <f>AND(#REF!,"AAAAAH23d58=")</f>
        <v>#REF!</v>
      </c>
      <c r="FE2" s="34" t="e">
        <f>AND(#REF!,"AAAAAH23d6A=")</f>
        <v>#REF!</v>
      </c>
      <c r="FF2" s="34" t="e">
        <f>AND(#REF!,"AAAAAH23d6E=")</f>
        <v>#REF!</v>
      </c>
      <c r="FG2" s="34" t="e">
        <f>AND(#REF!,"AAAAAH23d6I=")</f>
        <v>#REF!</v>
      </c>
      <c r="FH2" s="34" t="e">
        <f>AND(#REF!,"AAAAAH23d6M=")</f>
        <v>#REF!</v>
      </c>
      <c r="FI2" s="34" t="e">
        <f>AND(#REF!,"AAAAAH23d6Q=")</f>
        <v>#REF!</v>
      </c>
      <c r="FJ2" s="34" t="e">
        <f>AND(#REF!,"AAAAAH23d6U=")</f>
        <v>#REF!</v>
      </c>
      <c r="FK2" s="34" t="e">
        <f>AND(#REF!,"AAAAAH23d6Y=")</f>
        <v>#REF!</v>
      </c>
      <c r="FL2" s="34" t="e">
        <f>AND(#REF!,"AAAAAH23d6c=")</f>
        <v>#REF!</v>
      </c>
      <c r="FM2" s="34" t="e">
        <f>AND(#REF!,"AAAAAH23d6g=")</f>
        <v>#REF!</v>
      </c>
      <c r="FN2" s="34" t="e">
        <f>AND(#REF!,"AAAAAH23d6k=")</f>
        <v>#REF!</v>
      </c>
      <c r="FO2" s="34" t="e">
        <f>AND(#REF!,"AAAAAH23d6o=")</f>
        <v>#REF!</v>
      </c>
      <c r="FP2" s="34" t="e">
        <f>AND(#REF!,"AAAAAH23d6s=")</f>
        <v>#REF!</v>
      </c>
      <c r="FQ2" s="34" t="e">
        <f>AND(#REF!,"AAAAAH23d6w=")</f>
        <v>#REF!</v>
      </c>
      <c r="FR2" s="34" t="e">
        <f>AND(#REF!,"AAAAAH23d60=")</f>
        <v>#REF!</v>
      </c>
      <c r="FS2" s="34" t="e">
        <f>AND(#REF!,"AAAAAH23d64=")</f>
        <v>#REF!</v>
      </c>
      <c r="FT2" s="34" t="e">
        <f>AND(#REF!,"AAAAAH23d68=")</f>
        <v>#REF!</v>
      </c>
      <c r="FU2" s="34" t="e">
        <f>AND(#REF!,"AAAAAH23d7A=")</f>
        <v>#REF!</v>
      </c>
      <c r="FV2" s="34" t="e">
        <f>AND(#REF!,"AAAAAH23d7E=")</f>
        <v>#REF!</v>
      </c>
      <c r="FW2" s="34" t="e">
        <f>AND(#REF!,"AAAAAH23d7I=")</f>
        <v>#REF!</v>
      </c>
      <c r="FX2" s="34" t="e">
        <f>AND(#REF!,"AAAAAH23d7M=")</f>
        <v>#REF!</v>
      </c>
      <c r="FY2" s="34" t="e">
        <f>AND(#REF!,"AAAAAH23d7Q=")</f>
        <v>#REF!</v>
      </c>
      <c r="FZ2" s="34" t="e">
        <f>AND(#REF!,"AAAAAH23d7U=")</f>
        <v>#REF!</v>
      </c>
      <c r="GA2" s="34" t="e">
        <f>AND(#REF!,"AAAAAH23d7Y=")</f>
        <v>#REF!</v>
      </c>
      <c r="GB2" s="34" t="e">
        <f>AND(#REF!,"AAAAAH23d7c=")</f>
        <v>#REF!</v>
      </c>
      <c r="GC2" s="34" t="e">
        <f>AND(#REF!,"AAAAAH23d7g=")</f>
        <v>#REF!</v>
      </c>
      <c r="GD2" s="34" t="e">
        <f>AND(#REF!,"AAAAAH23d7k=")</f>
        <v>#REF!</v>
      </c>
      <c r="GE2" s="34" t="e">
        <f>AND(#REF!,"AAAAAH23d7o=")</f>
        <v>#REF!</v>
      </c>
      <c r="GF2" s="34" t="e">
        <f>AND(#REF!,"AAAAAH23d7s=")</f>
        <v>#REF!</v>
      </c>
      <c r="GG2" s="34" t="e">
        <f>AND(#REF!,"AAAAAH23d7w=")</f>
        <v>#REF!</v>
      </c>
      <c r="GH2" s="34" t="e">
        <f>AND(#REF!,"AAAAAH23d70=")</f>
        <v>#REF!</v>
      </c>
      <c r="GI2" s="34" t="e">
        <f>IF(#REF!,"AAAAAH23d74=",0)</f>
        <v>#REF!</v>
      </c>
      <c r="GJ2" s="34" t="e">
        <f>AND(#REF!,"AAAAAH23d78=")</f>
        <v>#REF!</v>
      </c>
      <c r="GK2" s="34" t="e">
        <f>AND(#REF!,"AAAAAH23d8A=")</f>
        <v>#REF!</v>
      </c>
      <c r="GL2" s="34" t="e">
        <f>AND(#REF!,"AAAAAH23d8E=")</f>
        <v>#REF!</v>
      </c>
      <c r="GM2" s="34" t="e">
        <f>AND(#REF!,"AAAAAH23d8I=")</f>
        <v>#REF!</v>
      </c>
      <c r="GN2" s="34" t="e">
        <f>AND(#REF!,"AAAAAH23d8M=")</f>
        <v>#REF!</v>
      </c>
      <c r="GO2" s="34" t="e">
        <f>AND(#REF!,"AAAAAH23d8Q=")</f>
        <v>#REF!</v>
      </c>
      <c r="GP2" s="34" t="e">
        <f>AND(#REF!,"AAAAAH23d8U=")</f>
        <v>#REF!</v>
      </c>
      <c r="GQ2" s="34" t="e">
        <f>AND(#REF!,"AAAAAH23d8Y=")</f>
        <v>#REF!</v>
      </c>
      <c r="GR2" s="34" t="e">
        <f>AND(#REF!,"AAAAAH23d8c=")</f>
        <v>#REF!</v>
      </c>
      <c r="GS2" s="34" t="e">
        <f>AND(#REF!,"AAAAAH23d8g=")</f>
        <v>#REF!</v>
      </c>
      <c r="GT2" s="34" t="e">
        <f>AND(#REF!,"AAAAAH23d8k=")</f>
        <v>#REF!</v>
      </c>
      <c r="GU2" s="34" t="e">
        <f>AND(#REF!,"AAAAAH23d8o=")</f>
        <v>#REF!</v>
      </c>
      <c r="GV2" s="34" t="e">
        <f>AND(#REF!,"AAAAAH23d8s=")</f>
        <v>#REF!</v>
      </c>
      <c r="GW2" s="34" t="e">
        <f>AND(#REF!,"AAAAAH23d8w=")</f>
        <v>#REF!</v>
      </c>
      <c r="GX2" s="34" t="e">
        <f>AND(#REF!,"AAAAAH23d80=")</f>
        <v>#REF!</v>
      </c>
      <c r="GY2" s="34" t="e">
        <f>AND(#REF!,"AAAAAH23d84=")</f>
        <v>#REF!</v>
      </c>
      <c r="GZ2" s="34" t="e">
        <f>AND(#REF!,"AAAAAH23d88=")</f>
        <v>#REF!</v>
      </c>
      <c r="HA2" s="34" t="e">
        <f>AND(#REF!,"AAAAAH23d9A=")</f>
        <v>#REF!</v>
      </c>
      <c r="HB2" s="34" t="e">
        <f>AND(#REF!,"AAAAAH23d9E=")</f>
        <v>#REF!</v>
      </c>
      <c r="HC2" s="34" t="e">
        <f>AND(#REF!,"AAAAAH23d9I=")</f>
        <v>#REF!</v>
      </c>
      <c r="HD2" s="34" t="e">
        <f>AND(#REF!,"AAAAAH23d9M=")</f>
        <v>#REF!</v>
      </c>
      <c r="HE2" s="34" t="e">
        <f>AND(#REF!,"AAAAAH23d9Q=")</f>
        <v>#REF!</v>
      </c>
      <c r="HF2" s="34" t="e">
        <f>AND(#REF!,"AAAAAH23d9U=")</f>
        <v>#REF!</v>
      </c>
      <c r="HG2" s="34" t="e">
        <f>AND(#REF!,"AAAAAH23d9Y=")</f>
        <v>#REF!</v>
      </c>
      <c r="HH2" s="34" t="e">
        <f>AND(#REF!,"AAAAAH23d9c=")</f>
        <v>#REF!</v>
      </c>
      <c r="HI2" s="34" t="e">
        <f>AND(#REF!,"AAAAAH23d9g=")</f>
        <v>#REF!</v>
      </c>
      <c r="HJ2" s="34" t="e">
        <f>AND(#REF!,"AAAAAH23d9k=")</f>
        <v>#REF!</v>
      </c>
      <c r="HK2" s="34" t="e">
        <f>AND(#REF!,"AAAAAH23d9o=")</f>
        <v>#REF!</v>
      </c>
      <c r="HL2" s="34" t="e">
        <f>AND(#REF!,"AAAAAH23d9s=")</f>
        <v>#REF!</v>
      </c>
      <c r="HM2" s="34" t="e">
        <f>AND(#REF!,"AAAAAH23d9w=")</f>
        <v>#REF!</v>
      </c>
      <c r="HN2" s="34" t="e">
        <f>AND(#REF!,"AAAAAH23d90=")</f>
        <v>#REF!</v>
      </c>
      <c r="HO2" s="34" t="e">
        <f>AND(#REF!,"AAAAAH23d94=")</f>
        <v>#REF!</v>
      </c>
      <c r="HP2" s="34" t="e">
        <f>AND(#REF!,"AAAAAH23d98=")</f>
        <v>#REF!</v>
      </c>
      <c r="HQ2" s="34" t="e">
        <f>AND(#REF!,"AAAAAH23d+A=")</f>
        <v>#REF!</v>
      </c>
      <c r="HR2" s="34" t="e">
        <f>AND(#REF!,"AAAAAH23d+E=")</f>
        <v>#REF!</v>
      </c>
      <c r="HS2" s="34" t="e">
        <f>AND(#REF!,"AAAAAH23d+I=")</f>
        <v>#REF!</v>
      </c>
      <c r="HT2" s="34" t="e">
        <f>AND(#REF!,"AAAAAH23d+M=")</f>
        <v>#REF!</v>
      </c>
      <c r="HU2" s="34" t="e">
        <f>AND(#REF!,"AAAAAH23d+Q=")</f>
        <v>#REF!</v>
      </c>
      <c r="HV2" s="34" t="e">
        <f>AND(#REF!,"AAAAAH23d+U=")</f>
        <v>#REF!</v>
      </c>
      <c r="HW2" s="34" t="e">
        <f>AND(#REF!,"AAAAAH23d+Y=")</f>
        <v>#REF!</v>
      </c>
      <c r="HX2" s="34" t="e">
        <f>AND(#REF!,"AAAAAH23d+c=")</f>
        <v>#REF!</v>
      </c>
      <c r="HY2" s="34" t="e">
        <f>AND(#REF!,"AAAAAH23d+g=")</f>
        <v>#REF!</v>
      </c>
      <c r="HZ2" s="34" t="e">
        <f>AND(#REF!,"AAAAAH23d+k=")</f>
        <v>#REF!</v>
      </c>
      <c r="IA2" s="34" t="e">
        <f>AND(#REF!,"AAAAAH23d+o=")</f>
        <v>#REF!</v>
      </c>
      <c r="IB2" s="34" t="e">
        <f>AND(#REF!,"AAAAAH23d+s=")</f>
        <v>#REF!</v>
      </c>
      <c r="IC2" s="34" t="e">
        <f>IF(#REF!,"AAAAAH23d+w=",0)</f>
        <v>#REF!</v>
      </c>
      <c r="ID2" s="34" t="e">
        <f>AND(#REF!,"AAAAAH23d+0=")</f>
        <v>#REF!</v>
      </c>
      <c r="IE2" s="34" t="e">
        <f>AND(#REF!,"AAAAAH23d+4=")</f>
        <v>#REF!</v>
      </c>
      <c r="IF2" s="34" t="e">
        <f>AND(#REF!,"AAAAAH23d+8=")</f>
        <v>#REF!</v>
      </c>
      <c r="IG2" s="34" t="e">
        <f>AND(#REF!,"AAAAAH23d/A=")</f>
        <v>#REF!</v>
      </c>
      <c r="IH2" s="34" t="e">
        <f>AND(#REF!,"AAAAAH23d/E=")</f>
        <v>#REF!</v>
      </c>
      <c r="II2" s="34" t="e">
        <f>AND(#REF!,"AAAAAH23d/I=")</f>
        <v>#REF!</v>
      </c>
      <c r="IJ2" s="34" t="e">
        <f>AND(#REF!,"AAAAAH23d/M=")</f>
        <v>#REF!</v>
      </c>
      <c r="IK2" s="34" t="e">
        <f>AND(#REF!,"AAAAAH23d/Q=")</f>
        <v>#REF!</v>
      </c>
      <c r="IL2" s="34" t="e">
        <f>AND(#REF!,"AAAAAH23d/U=")</f>
        <v>#REF!</v>
      </c>
      <c r="IM2" s="34" t="e">
        <f>AND(#REF!,"AAAAAH23d/Y=")</f>
        <v>#REF!</v>
      </c>
      <c r="IN2" s="34" t="e">
        <f>AND(#REF!,"AAAAAH23d/c=")</f>
        <v>#REF!</v>
      </c>
      <c r="IO2" s="34" t="e">
        <f>AND(#REF!,"AAAAAH23d/g=")</f>
        <v>#REF!</v>
      </c>
      <c r="IP2" s="34" t="e">
        <f>AND(#REF!,"AAAAAH23d/k=")</f>
        <v>#REF!</v>
      </c>
      <c r="IQ2" s="34" t="e">
        <f>AND(#REF!,"AAAAAH23d/o=")</f>
        <v>#REF!</v>
      </c>
      <c r="IR2" s="34" t="e">
        <f>AND(#REF!,"AAAAAH23d/s=")</f>
        <v>#REF!</v>
      </c>
      <c r="IS2" s="34" t="e">
        <f>AND(#REF!,"AAAAAH23d/w=")</f>
        <v>#REF!</v>
      </c>
      <c r="IT2" s="34" t="e">
        <f>AND(#REF!,"AAAAAH23d/0=")</f>
        <v>#REF!</v>
      </c>
      <c r="IU2" s="34" t="e">
        <f>AND(#REF!,"AAAAAH23d/4=")</f>
        <v>#REF!</v>
      </c>
      <c r="IV2" s="34" t="e">
        <f>AND(#REF!,"AAAAAH23d/8=")</f>
        <v>#REF!</v>
      </c>
    </row>
    <row r="3" spans="1:256" ht="12.75" customHeight="1" x14ac:dyDescent="0.2">
      <c r="A3" s="34" t="e">
        <f>AND(#REF!,"AAAAAH/v7wA=")</f>
        <v>#REF!</v>
      </c>
      <c r="B3" s="34" t="e">
        <f>AND(#REF!,"AAAAAH/v7wE=")</f>
        <v>#REF!</v>
      </c>
      <c r="C3" s="34" t="e">
        <f>AND(#REF!,"AAAAAH/v7wI=")</f>
        <v>#REF!</v>
      </c>
      <c r="D3" s="34" t="e">
        <f>AND(#REF!,"AAAAAH/v7wM=")</f>
        <v>#REF!</v>
      </c>
      <c r="E3" s="34" t="e">
        <f>AND(#REF!,"AAAAAH/v7wQ=")</f>
        <v>#REF!</v>
      </c>
      <c r="F3" s="34" t="e">
        <f>AND(#REF!,"AAAAAH/v7wU=")</f>
        <v>#REF!</v>
      </c>
      <c r="G3" s="34" t="e">
        <f>AND(#REF!,"AAAAAH/v7wY=")</f>
        <v>#REF!</v>
      </c>
      <c r="H3" s="34" t="e">
        <f>AND(#REF!,"AAAAAH/v7wc=")</f>
        <v>#REF!</v>
      </c>
      <c r="I3" s="34" t="e">
        <f>AND(#REF!,"AAAAAH/v7wg=")</f>
        <v>#REF!</v>
      </c>
      <c r="J3" s="34" t="e">
        <f>AND(#REF!,"AAAAAH/v7wk=")</f>
        <v>#REF!</v>
      </c>
      <c r="K3" s="34" t="e">
        <f>AND(#REF!,"AAAAAH/v7wo=")</f>
        <v>#REF!</v>
      </c>
      <c r="L3" s="34" t="e">
        <f>AND(#REF!,"AAAAAH/v7ws=")</f>
        <v>#REF!</v>
      </c>
      <c r="M3" s="34" t="e">
        <f>AND(#REF!,"AAAAAH/v7ww=")</f>
        <v>#REF!</v>
      </c>
      <c r="N3" s="34" t="e">
        <f>AND(#REF!,"AAAAAH/v7w0=")</f>
        <v>#REF!</v>
      </c>
      <c r="O3" s="34" t="e">
        <f>AND(#REF!,"AAAAAH/v7w4=")</f>
        <v>#REF!</v>
      </c>
      <c r="P3" s="34" t="e">
        <f>AND(#REF!,"AAAAAH/v7w8=")</f>
        <v>#REF!</v>
      </c>
      <c r="Q3" s="34" t="e">
        <f>AND(#REF!,"AAAAAH/v7xA=")</f>
        <v>#REF!</v>
      </c>
      <c r="R3" s="34" t="e">
        <f>AND(#REF!,"AAAAAH/v7xE=")</f>
        <v>#REF!</v>
      </c>
      <c r="S3" s="34" t="e">
        <f>AND(#REF!,"AAAAAH/v7xI=")</f>
        <v>#REF!</v>
      </c>
      <c r="T3" s="34" t="e">
        <f>AND(#REF!,"AAAAAH/v7xM=")</f>
        <v>#REF!</v>
      </c>
      <c r="U3" s="34" t="e">
        <f>AND(#REF!,"AAAAAH/v7xQ=")</f>
        <v>#REF!</v>
      </c>
      <c r="V3" s="34" t="e">
        <f>AND(#REF!,"AAAAAH/v7xU=")</f>
        <v>#REF!</v>
      </c>
      <c r="W3" s="34" t="e">
        <f>AND(#REF!,"AAAAAH/v7xY=")</f>
        <v>#REF!</v>
      </c>
      <c r="X3" s="34" t="e">
        <f>AND(#REF!,"AAAAAH/v7xc=")</f>
        <v>#REF!</v>
      </c>
      <c r="Y3" s="34" t="e">
        <f>AND(#REF!,"AAAAAH/v7xg=")</f>
        <v>#REF!</v>
      </c>
      <c r="Z3" s="34" t="e">
        <f>AND(#REF!,"AAAAAH/v7xk=")</f>
        <v>#REF!</v>
      </c>
      <c r="AA3" s="34" t="e">
        <f>IF(#REF!,"AAAAAH/v7xo=",0)</f>
        <v>#REF!</v>
      </c>
      <c r="AB3" s="34" t="e">
        <f>AND(#REF!,"AAAAAH/v7xs=")</f>
        <v>#REF!</v>
      </c>
      <c r="AC3" s="34" t="e">
        <f>AND(#REF!,"AAAAAH/v7xw=")</f>
        <v>#REF!</v>
      </c>
      <c r="AD3" s="34" t="e">
        <f>AND(#REF!,"AAAAAH/v7x0=")</f>
        <v>#REF!</v>
      </c>
      <c r="AE3" s="34" t="e">
        <f>AND(#REF!,"AAAAAH/v7x4=")</f>
        <v>#REF!</v>
      </c>
      <c r="AF3" s="34" t="e">
        <f>AND(#REF!,"AAAAAH/v7x8=")</f>
        <v>#REF!</v>
      </c>
      <c r="AG3" s="34" t="e">
        <f>AND(#REF!,"AAAAAH/v7yA=")</f>
        <v>#REF!</v>
      </c>
      <c r="AH3" s="34" t="e">
        <f>AND(#REF!,"AAAAAH/v7yE=")</f>
        <v>#REF!</v>
      </c>
      <c r="AI3" s="34" t="e">
        <f>AND(#REF!,"AAAAAH/v7yI=")</f>
        <v>#REF!</v>
      </c>
      <c r="AJ3" s="34" t="e">
        <f>AND(#REF!,"AAAAAH/v7yM=")</f>
        <v>#REF!</v>
      </c>
      <c r="AK3" s="34" t="e">
        <f>AND(#REF!,"AAAAAH/v7yQ=")</f>
        <v>#REF!</v>
      </c>
      <c r="AL3" s="34" t="e">
        <f>AND(#REF!,"AAAAAH/v7yU=")</f>
        <v>#REF!</v>
      </c>
      <c r="AM3" s="34" t="e">
        <f>AND(#REF!,"AAAAAH/v7yY=")</f>
        <v>#REF!</v>
      </c>
      <c r="AN3" s="34" t="e">
        <f>AND(#REF!,"AAAAAH/v7yc=")</f>
        <v>#REF!</v>
      </c>
      <c r="AO3" s="34" t="e">
        <f>AND(#REF!,"AAAAAH/v7yg=")</f>
        <v>#REF!</v>
      </c>
      <c r="AP3" s="34" t="e">
        <f>AND(#REF!,"AAAAAH/v7yk=")</f>
        <v>#REF!</v>
      </c>
      <c r="AQ3" s="34" t="e">
        <f>AND(#REF!,"AAAAAH/v7yo=")</f>
        <v>#REF!</v>
      </c>
      <c r="AR3" s="34" t="e">
        <f>AND(#REF!,"AAAAAH/v7ys=")</f>
        <v>#REF!</v>
      </c>
      <c r="AS3" s="34" t="e">
        <f>AND(#REF!,"AAAAAH/v7yw=")</f>
        <v>#REF!</v>
      </c>
      <c r="AT3" s="34" t="e">
        <f>AND(#REF!,"AAAAAH/v7y0=")</f>
        <v>#REF!</v>
      </c>
      <c r="AU3" s="34" t="e">
        <f>AND(#REF!,"AAAAAH/v7y4=")</f>
        <v>#REF!</v>
      </c>
      <c r="AV3" s="34" t="e">
        <f>AND(#REF!,"AAAAAH/v7y8=")</f>
        <v>#REF!</v>
      </c>
      <c r="AW3" s="34" t="e">
        <f>AND(#REF!,"AAAAAH/v7zA=")</f>
        <v>#REF!</v>
      </c>
      <c r="AX3" s="34" t="e">
        <f>AND(#REF!,"AAAAAH/v7zE=")</f>
        <v>#REF!</v>
      </c>
      <c r="AY3" s="34" t="e">
        <f>AND(#REF!,"AAAAAH/v7zI=")</f>
        <v>#REF!</v>
      </c>
      <c r="AZ3" s="34" t="e">
        <f>AND(#REF!,"AAAAAH/v7zM=")</f>
        <v>#REF!</v>
      </c>
      <c r="BA3" s="34" t="e">
        <f>AND(#REF!,"AAAAAH/v7zQ=")</f>
        <v>#REF!</v>
      </c>
      <c r="BB3" s="34" t="e">
        <f>AND(#REF!,"AAAAAH/v7zU=")</f>
        <v>#REF!</v>
      </c>
      <c r="BC3" s="34" t="e">
        <f>AND(#REF!,"AAAAAH/v7zY=")</f>
        <v>#REF!</v>
      </c>
      <c r="BD3" s="34" t="e">
        <f>AND(#REF!,"AAAAAH/v7zc=")</f>
        <v>#REF!</v>
      </c>
      <c r="BE3" s="34" t="e">
        <f>AND(#REF!,"AAAAAH/v7zg=")</f>
        <v>#REF!</v>
      </c>
      <c r="BF3" s="34" t="e">
        <f>AND(#REF!,"AAAAAH/v7zk=")</f>
        <v>#REF!</v>
      </c>
      <c r="BG3" s="34" t="e">
        <f>AND(#REF!,"AAAAAH/v7zo=")</f>
        <v>#REF!</v>
      </c>
      <c r="BH3" s="34" t="e">
        <f>AND(#REF!,"AAAAAH/v7zs=")</f>
        <v>#REF!</v>
      </c>
      <c r="BI3" s="34" t="e">
        <f>AND(#REF!,"AAAAAH/v7zw=")</f>
        <v>#REF!</v>
      </c>
      <c r="BJ3" s="34" t="e">
        <f>AND(#REF!,"AAAAAH/v7z0=")</f>
        <v>#REF!</v>
      </c>
      <c r="BK3" s="34" t="e">
        <f>AND(#REF!,"AAAAAH/v7z4=")</f>
        <v>#REF!</v>
      </c>
      <c r="BL3" s="34" t="e">
        <f>AND(#REF!,"AAAAAH/v7z8=")</f>
        <v>#REF!</v>
      </c>
      <c r="BM3" s="34" t="e">
        <f>AND(#REF!,"AAAAAH/v70A=")</f>
        <v>#REF!</v>
      </c>
      <c r="BN3" s="34" t="e">
        <f>AND(#REF!,"AAAAAH/v70E=")</f>
        <v>#REF!</v>
      </c>
      <c r="BO3" s="34" t="e">
        <f>AND(#REF!,"AAAAAH/v70I=")</f>
        <v>#REF!</v>
      </c>
      <c r="BP3" s="34" t="e">
        <f>AND(#REF!,"AAAAAH/v70M=")</f>
        <v>#REF!</v>
      </c>
      <c r="BQ3" s="34" t="e">
        <f>AND(#REF!,"AAAAAH/v70Q=")</f>
        <v>#REF!</v>
      </c>
      <c r="BR3" s="34" t="e">
        <f>AND(#REF!,"AAAAAH/v70U=")</f>
        <v>#REF!</v>
      </c>
      <c r="BS3" s="34" t="e">
        <f>AND(#REF!,"AAAAAH/v70Y=")</f>
        <v>#REF!</v>
      </c>
      <c r="BT3" s="34" t="e">
        <f>AND(#REF!,"AAAAAH/v70c=")</f>
        <v>#REF!</v>
      </c>
      <c r="BU3" s="34" t="e">
        <f>IF(#REF!,"AAAAAH/v70g=",0)</f>
        <v>#REF!</v>
      </c>
      <c r="BV3" s="34" t="e">
        <f>AND(#REF!,"AAAAAH/v70k=")</f>
        <v>#REF!</v>
      </c>
      <c r="BW3" s="34" t="e">
        <f>AND(#REF!,"AAAAAH/v70o=")</f>
        <v>#REF!</v>
      </c>
      <c r="BX3" s="34" t="e">
        <f>AND(#REF!,"AAAAAH/v70s=")</f>
        <v>#REF!</v>
      </c>
      <c r="BY3" s="34" t="e">
        <f>AND(#REF!,"AAAAAH/v70w=")</f>
        <v>#REF!</v>
      </c>
      <c r="BZ3" s="34" t="e">
        <f>AND(#REF!,"AAAAAH/v700=")</f>
        <v>#REF!</v>
      </c>
      <c r="CA3" s="34" t="e">
        <f>AND(#REF!,"AAAAAH/v704=")</f>
        <v>#REF!</v>
      </c>
      <c r="CB3" s="34" t="e">
        <f>AND(#REF!,"AAAAAH/v708=")</f>
        <v>#REF!</v>
      </c>
      <c r="CC3" s="34" t="e">
        <f>AND(#REF!,"AAAAAH/v71A=")</f>
        <v>#REF!</v>
      </c>
      <c r="CD3" s="34" t="e">
        <f>AND(#REF!,"AAAAAH/v71E=")</f>
        <v>#REF!</v>
      </c>
      <c r="CE3" s="34" t="e">
        <f>AND(#REF!,"AAAAAH/v71I=")</f>
        <v>#REF!</v>
      </c>
      <c r="CF3" s="34" t="e">
        <f>AND(#REF!,"AAAAAH/v71M=")</f>
        <v>#REF!</v>
      </c>
      <c r="CG3" s="34" t="e">
        <f>AND(#REF!,"AAAAAH/v71Q=")</f>
        <v>#REF!</v>
      </c>
      <c r="CH3" s="34" t="e">
        <f>AND(#REF!,"AAAAAH/v71U=")</f>
        <v>#REF!</v>
      </c>
      <c r="CI3" s="34" t="e">
        <f>AND(#REF!,"AAAAAH/v71Y=")</f>
        <v>#REF!</v>
      </c>
      <c r="CJ3" s="34" t="e">
        <f>AND(#REF!,"AAAAAH/v71c=")</f>
        <v>#REF!</v>
      </c>
      <c r="CK3" s="34" t="e">
        <f>AND(#REF!,"AAAAAH/v71g=")</f>
        <v>#REF!</v>
      </c>
      <c r="CL3" s="34" t="e">
        <f>AND(#REF!,"AAAAAH/v71k=")</f>
        <v>#REF!</v>
      </c>
      <c r="CM3" s="34" t="e">
        <f>AND(#REF!,"AAAAAH/v71o=")</f>
        <v>#REF!</v>
      </c>
      <c r="CN3" s="34" t="e">
        <f>AND(#REF!,"AAAAAH/v71s=")</f>
        <v>#REF!</v>
      </c>
      <c r="CO3" s="34" t="e">
        <f>AND(#REF!,"AAAAAH/v71w=")</f>
        <v>#REF!</v>
      </c>
      <c r="CP3" s="34" t="e">
        <f>AND(#REF!,"AAAAAH/v710=")</f>
        <v>#REF!</v>
      </c>
      <c r="CQ3" s="34" t="e">
        <f>AND(#REF!,"AAAAAH/v714=")</f>
        <v>#REF!</v>
      </c>
      <c r="CR3" s="34" t="e">
        <f>AND(#REF!,"AAAAAH/v718=")</f>
        <v>#REF!</v>
      </c>
      <c r="CS3" s="34" t="e">
        <f>AND(#REF!,"AAAAAH/v72A=")</f>
        <v>#REF!</v>
      </c>
      <c r="CT3" s="34" t="e">
        <f>AND(#REF!,"AAAAAH/v72E=")</f>
        <v>#REF!</v>
      </c>
      <c r="CU3" s="34" t="e">
        <f>AND(#REF!,"AAAAAH/v72I=")</f>
        <v>#REF!</v>
      </c>
      <c r="CV3" s="34" t="e">
        <f>AND(#REF!,"AAAAAH/v72M=")</f>
        <v>#REF!</v>
      </c>
      <c r="CW3" s="34" t="e">
        <f>AND(#REF!,"AAAAAH/v72Q=")</f>
        <v>#REF!</v>
      </c>
      <c r="CX3" s="34" t="e">
        <f>AND(#REF!,"AAAAAH/v72U=")</f>
        <v>#REF!</v>
      </c>
      <c r="CY3" s="34" t="e">
        <f>AND(#REF!,"AAAAAH/v72Y=")</f>
        <v>#REF!</v>
      </c>
      <c r="CZ3" s="34" t="e">
        <f>AND(#REF!,"AAAAAH/v72c=")</f>
        <v>#REF!</v>
      </c>
      <c r="DA3" s="34" t="e">
        <f>AND(#REF!,"AAAAAH/v72g=")</f>
        <v>#REF!</v>
      </c>
      <c r="DB3" s="34" t="e">
        <f>AND(#REF!,"AAAAAH/v72k=")</f>
        <v>#REF!</v>
      </c>
      <c r="DC3" s="34" t="e">
        <f>AND(#REF!,"AAAAAH/v72o=")</f>
        <v>#REF!</v>
      </c>
      <c r="DD3" s="34" t="e">
        <f>AND(#REF!,"AAAAAH/v72s=")</f>
        <v>#REF!</v>
      </c>
      <c r="DE3" s="34" t="e">
        <f>AND(#REF!,"AAAAAH/v72w=")</f>
        <v>#REF!</v>
      </c>
      <c r="DF3" s="34" t="e">
        <f>AND(#REF!,"AAAAAH/v720=")</f>
        <v>#REF!</v>
      </c>
      <c r="DG3" s="34" t="e">
        <f>AND(#REF!,"AAAAAH/v724=")</f>
        <v>#REF!</v>
      </c>
      <c r="DH3" s="34" t="e">
        <f>AND(#REF!,"AAAAAH/v728=")</f>
        <v>#REF!</v>
      </c>
      <c r="DI3" s="34" t="e">
        <f>AND(#REF!,"AAAAAH/v73A=")</f>
        <v>#REF!</v>
      </c>
      <c r="DJ3" s="34" t="e">
        <f>AND(#REF!,"AAAAAH/v73E=")</f>
        <v>#REF!</v>
      </c>
      <c r="DK3" s="34" t="e">
        <f>AND(#REF!,"AAAAAH/v73I=")</f>
        <v>#REF!</v>
      </c>
      <c r="DL3" s="34" t="e">
        <f>AND(#REF!,"AAAAAH/v73M=")</f>
        <v>#REF!</v>
      </c>
      <c r="DM3" s="34" t="e">
        <f>AND(#REF!,"AAAAAH/v73Q=")</f>
        <v>#REF!</v>
      </c>
      <c r="DN3" s="34" t="e">
        <f>AND(#REF!,"AAAAAH/v73U=")</f>
        <v>#REF!</v>
      </c>
      <c r="DO3" s="34" t="e">
        <f>IF(#REF!,"AAAAAH/v73Y=",0)</f>
        <v>#REF!</v>
      </c>
      <c r="DP3" s="34" t="e">
        <f>AND(#REF!,"AAAAAH/v73c=")</f>
        <v>#REF!</v>
      </c>
      <c r="DQ3" s="34" t="e">
        <f>AND(#REF!,"AAAAAH/v73g=")</f>
        <v>#REF!</v>
      </c>
      <c r="DR3" s="34" t="e">
        <f>AND(#REF!,"AAAAAH/v73k=")</f>
        <v>#REF!</v>
      </c>
      <c r="DS3" s="34" t="e">
        <f>AND(#REF!,"AAAAAH/v73o=")</f>
        <v>#REF!</v>
      </c>
      <c r="DT3" s="34" t="e">
        <f>AND(#REF!,"AAAAAH/v73s=")</f>
        <v>#REF!</v>
      </c>
      <c r="DU3" s="34" t="e">
        <f>AND(#REF!,"AAAAAH/v73w=")</f>
        <v>#REF!</v>
      </c>
      <c r="DV3" s="34" t="e">
        <f>AND(#REF!,"AAAAAH/v730=")</f>
        <v>#REF!</v>
      </c>
      <c r="DW3" s="34" t="e">
        <f>AND(#REF!,"AAAAAH/v734=")</f>
        <v>#REF!</v>
      </c>
      <c r="DX3" s="34" t="e">
        <f>AND(#REF!,"AAAAAH/v738=")</f>
        <v>#REF!</v>
      </c>
      <c r="DY3" s="34" t="e">
        <f>AND(#REF!,"AAAAAH/v74A=")</f>
        <v>#REF!</v>
      </c>
      <c r="DZ3" s="34" t="e">
        <f>AND(#REF!,"AAAAAH/v74E=")</f>
        <v>#REF!</v>
      </c>
      <c r="EA3" s="34" t="e">
        <f>AND(#REF!,"AAAAAH/v74I=")</f>
        <v>#REF!</v>
      </c>
      <c r="EB3" s="34" t="e">
        <f>AND(#REF!,"AAAAAH/v74M=")</f>
        <v>#REF!</v>
      </c>
      <c r="EC3" s="34" t="e">
        <f>AND(#REF!,"AAAAAH/v74Q=")</f>
        <v>#REF!</v>
      </c>
      <c r="ED3" s="34" t="e">
        <f>AND(#REF!,"AAAAAH/v74U=")</f>
        <v>#REF!</v>
      </c>
      <c r="EE3" s="34" t="e">
        <f>AND(#REF!,"AAAAAH/v74Y=")</f>
        <v>#REF!</v>
      </c>
      <c r="EF3" s="34" t="e">
        <f>AND(#REF!,"AAAAAH/v74c=")</f>
        <v>#REF!</v>
      </c>
      <c r="EG3" s="34" t="e">
        <f>AND(#REF!,"AAAAAH/v74g=")</f>
        <v>#REF!</v>
      </c>
      <c r="EH3" s="34" t="e">
        <f>AND(#REF!,"AAAAAH/v74k=")</f>
        <v>#REF!</v>
      </c>
      <c r="EI3" s="34" t="e">
        <f>AND(#REF!,"AAAAAH/v74o=")</f>
        <v>#REF!</v>
      </c>
      <c r="EJ3" s="34" t="e">
        <f>AND(#REF!,"AAAAAH/v74s=")</f>
        <v>#REF!</v>
      </c>
      <c r="EK3" s="34" t="e">
        <f>AND(#REF!,"AAAAAH/v74w=")</f>
        <v>#REF!</v>
      </c>
      <c r="EL3" s="34" t="e">
        <f>AND(#REF!,"AAAAAH/v740=")</f>
        <v>#REF!</v>
      </c>
      <c r="EM3" s="34" t="e">
        <f>AND(#REF!,"AAAAAH/v744=")</f>
        <v>#REF!</v>
      </c>
      <c r="EN3" s="34" t="e">
        <f>AND(#REF!,"AAAAAH/v748=")</f>
        <v>#REF!</v>
      </c>
      <c r="EO3" s="34" t="e">
        <f>AND(#REF!,"AAAAAH/v75A=")</f>
        <v>#REF!</v>
      </c>
      <c r="EP3" s="34" t="e">
        <f>AND(#REF!,"AAAAAH/v75E=")</f>
        <v>#REF!</v>
      </c>
      <c r="EQ3" s="34" t="e">
        <f>AND(#REF!,"AAAAAH/v75I=")</f>
        <v>#REF!</v>
      </c>
      <c r="ER3" s="34" t="e">
        <f>AND(#REF!,"AAAAAH/v75M=")</f>
        <v>#REF!</v>
      </c>
      <c r="ES3" s="34" t="e">
        <f>AND(#REF!,"AAAAAH/v75Q=")</f>
        <v>#REF!</v>
      </c>
      <c r="ET3" s="34" t="e">
        <f>AND(#REF!,"AAAAAH/v75U=")</f>
        <v>#REF!</v>
      </c>
      <c r="EU3" s="34" t="e">
        <f>AND(#REF!,"AAAAAH/v75Y=")</f>
        <v>#REF!</v>
      </c>
      <c r="EV3" s="34" t="e">
        <f>AND(#REF!,"AAAAAH/v75c=")</f>
        <v>#REF!</v>
      </c>
      <c r="EW3" s="34" t="e">
        <f>AND(#REF!,"AAAAAH/v75g=")</f>
        <v>#REF!</v>
      </c>
      <c r="EX3" s="34" t="e">
        <f>AND(#REF!,"AAAAAH/v75k=")</f>
        <v>#REF!</v>
      </c>
      <c r="EY3" s="34" t="e">
        <f>AND(#REF!,"AAAAAH/v75o=")</f>
        <v>#REF!</v>
      </c>
      <c r="EZ3" s="34" t="e">
        <f>AND(#REF!,"AAAAAH/v75s=")</f>
        <v>#REF!</v>
      </c>
      <c r="FA3" s="34" t="e">
        <f>AND(#REF!,"AAAAAH/v75w=")</f>
        <v>#REF!</v>
      </c>
      <c r="FB3" s="34" t="e">
        <f>AND(#REF!,"AAAAAH/v750=")</f>
        <v>#REF!</v>
      </c>
      <c r="FC3" s="34" t="e">
        <f>AND(#REF!,"AAAAAH/v754=")</f>
        <v>#REF!</v>
      </c>
      <c r="FD3" s="34" t="e">
        <f>AND(#REF!,"AAAAAH/v758=")</f>
        <v>#REF!</v>
      </c>
      <c r="FE3" s="34" t="e">
        <f>AND(#REF!,"AAAAAH/v76A=")</f>
        <v>#REF!</v>
      </c>
      <c r="FF3" s="34" t="e">
        <f>AND(#REF!,"AAAAAH/v76E=")</f>
        <v>#REF!</v>
      </c>
      <c r="FG3" s="34" t="e">
        <f>AND(#REF!,"AAAAAH/v76I=")</f>
        <v>#REF!</v>
      </c>
      <c r="FH3" s="34" t="e">
        <f>AND(#REF!,"AAAAAH/v76M=")</f>
        <v>#REF!</v>
      </c>
      <c r="FI3" s="34" t="e">
        <f>IF(#REF!,"AAAAAH/v76Q=",0)</f>
        <v>#REF!</v>
      </c>
      <c r="FJ3" s="34" t="e">
        <f>AND(#REF!,"AAAAAH/v76U=")</f>
        <v>#REF!</v>
      </c>
      <c r="FK3" s="34" t="e">
        <f>AND(#REF!,"AAAAAH/v76Y=")</f>
        <v>#REF!</v>
      </c>
      <c r="FL3" s="34" t="e">
        <f>AND(#REF!,"AAAAAH/v76c=")</f>
        <v>#REF!</v>
      </c>
      <c r="FM3" s="34" t="e">
        <f>AND(#REF!,"AAAAAH/v76g=")</f>
        <v>#REF!</v>
      </c>
      <c r="FN3" s="34" t="e">
        <f>AND(#REF!,"AAAAAH/v76k=")</f>
        <v>#REF!</v>
      </c>
      <c r="FO3" s="34" t="e">
        <f>AND(#REF!,"AAAAAH/v76o=")</f>
        <v>#REF!</v>
      </c>
      <c r="FP3" s="34" t="e">
        <f>AND(#REF!,"AAAAAH/v76s=")</f>
        <v>#REF!</v>
      </c>
      <c r="FQ3" s="34" t="e">
        <f>AND(#REF!,"AAAAAH/v76w=")</f>
        <v>#REF!</v>
      </c>
      <c r="FR3" s="34" t="e">
        <f>AND(#REF!,"AAAAAH/v760=")</f>
        <v>#REF!</v>
      </c>
      <c r="FS3" s="34" t="e">
        <f>AND(#REF!,"AAAAAH/v764=")</f>
        <v>#REF!</v>
      </c>
      <c r="FT3" s="34" t="e">
        <f>AND(#REF!,"AAAAAH/v768=")</f>
        <v>#REF!</v>
      </c>
      <c r="FU3" s="34" t="e">
        <f>AND(#REF!,"AAAAAH/v77A=")</f>
        <v>#REF!</v>
      </c>
      <c r="FV3" s="34" t="e">
        <f>AND(#REF!,"AAAAAH/v77E=")</f>
        <v>#REF!</v>
      </c>
      <c r="FW3" s="34" t="e">
        <f>AND(#REF!,"AAAAAH/v77I=")</f>
        <v>#REF!</v>
      </c>
      <c r="FX3" s="34" t="e">
        <f>AND(#REF!,"AAAAAH/v77M=")</f>
        <v>#REF!</v>
      </c>
      <c r="FY3" s="34" t="e">
        <f>AND(#REF!,"AAAAAH/v77Q=")</f>
        <v>#REF!</v>
      </c>
      <c r="FZ3" s="34" t="e">
        <f>AND(#REF!,"AAAAAH/v77U=")</f>
        <v>#REF!</v>
      </c>
      <c r="GA3" s="34" t="e">
        <f>AND(#REF!,"AAAAAH/v77Y=")</f>
        <v>#REF!</v>
      </c>
      <c r="GB3" s="34" t="e">
        <f>AND(#REF!,"AAAAAH/v77c=")</f>
        <v>#REF!</v>
      </c>
      <c r="GC3" s="34" t="e">
        <f>AND(#REF!,"AAAAAH/v77g=")</f>
        <v>#REF!</v>
      </c>
      <c r="GD3" s="34" t="e">
        <f>AND(#REF!,"AAAAAH/v77k=")</f>
        <v>#REF!</v>
      </c>
      <c r="GE3" s="34" t="e">
        <f>AND(#REF!,"AAAAAH/v77o=")</f>
        <v>#REF!</v>
      </c>
      <c r="GF3" s="34" t="e">
        <f>AND(#REF!,"AAAAAH/v77s=")</f>
        <v>#REF!</v>
      </c>
      <c r="GG3" s="34" t="e">
        <f>AND(#REF!,"AAAAAH/v77w=")</f>
        <v>#REF!</v>
      </c>
      <c r="GH3" s="34" t="e">
        <f>AND(#REF!,"AAAAAH/v770=")</f>
        <v>#REF!</v>
      </c>
      <c r="GI3" s="34" t="e">
        <f>AND(#REF!,"AAAAAH/v774=")</f>
        <v>#REF!</v>
      </c>
      <c r="GJ3" s="34" t="e">
        <f>AND(#REF!,"AAAAAH/v778=")</f>
        <v>#REF!</v>
      </c>
      <c r="GK3" s="34" t="e">
        <f>AND(#REF!,"AAAAAH/v78A=")</f>
        <v>#REF!</v>
      </c>
      <c r="GL3" s="34" t="e">
        <f>AND(#REF!,"AAAAAH/v78E=")</f>
        <v>#REF!</v>
      </c>
      <c r="GM3" s="34" t="e">
        <f>AND(#REF!,"AAAAAH/v78I=")</f>
        <v>#REF!</v>
      </c>
      <c r="GN3" s="34" t="e">
        <f>AND(#REF!,"AAAAAH/v78M=")</f>
        <v>#REF!</v>
      </c>
      <c r="GO3" s="34" t="e">
        <f>AND(#REF!,"AAAAAH/v78Q=")</f>
        <v>#REF!</v>
      </c>
      <c r="GP3" s="34" t="e">
        <f>AND(#REF!,"AAAAAH/v78U=")</f>
        <v>#REF!</v>
      </c>
      <c r="GQ3" s="34" t="e">
        <f>AND(#REF!,"AAAAAH/v78Y=")</f>
        <v>#REF!</v>
      </c>
      <c r="GR3" s="34" t="e">
        <f>AND(#REF!,"AAAAAH/v78c=")</f>
        <v>#REF!</v>
      </c>
      <c r="GS3" s="34" t="e">
        <f>AND(#REF!,"AAAAAH/v78g=")</f>
        <v>#REF!</v>
      </c>
      <c r="GT3" s="34" t="e">
        <f>AND(#REF!,"AAAAAH/v78k=")</f>
        <v>#REF!</v>
      </c>
      <c r="GU3" s="34" t="e">
        <f>AND(#REF!,"AAAAAH/v78o=")</f>
        <v>#REF!</v>
      </c>
      <c r="GV3" s="34" t="e">
        <f>AND(#REF!,"AAAAAH/v78s=")</f>
        <v>#REF!</v>
      </c>
      <c r="GW3" s="34" t="e">
        <f>AND(#REF!,"AAAAAH/v78w=")</f>
        <v>#REF!</v>
      </c>
      <c r="GX3" s="34" t="e">
        <f>AND(#REF!,"AAAAAH/v780=")</f>
        <v>#REF!</v>
      </c>
      <c r="GY3" s="34" t="e">
        <f>AND(#REF!,"AAAAAH/v784=")</f>
        <v>#REF!</v>
      </c>
      <c r="GZ3" s="34" t="e">
        <f>AND(#REF!,"AAAAAH/v788=")</f>
        <v>#REF!</v>
      </c>
      <c r="HA3" s="34" t="e">
        <f>AND(#REF!,"AAAAAH/v79A=")</f>
        <v>#REF!</v>
      </c>
      <c r="HB3" s="34" t="e">
        <f>AND(#REF!,"AAAAAH/v79E=")</f>
        <v>#REF!</v>
      </c>
      <c r="HC3" s="34" t="e">
        <f>IF(#REF!,"AAAAAH/v79I=",0)</f>
        <v>#REF!</v>
      </c>
      <c r="HD3" s="34" t="e">
        <f>AND(#REF!,"AAAAAH/v79M=")</f>
        <v>#REF!</v>
      </c>
      <c r="HE3" s="34" t="e">
        <f>AND(#REF!,"AAAAAH/v79Q=")</f>
        <v>#REF!</v>
      </c>
      <c r="HF3" s="34" t="e">
        <f>AND(#REF!,"AAAAAH/v79U=")</f>
        <v>#REF!</v>
      </c>
      <c r="HG3" s="34" t="e">
        <f>AND(#REF!,"AAAAAH/v79Y=")</f>
        <v>#REF!</v>
      </c>
      <c r="HH3" s="34" t="e">
        <f>AND(#REF!,"AAAAAH/v79c=")</f>
        <v>#REF!</v>
      </c>
      <c r="HI3" s="34" t="e">
        <f>AND(#REF!,"AAAAAH/v79g=")</f>
        <v>#REF!</v>
      </c>
      <c r="HJ3" s="34" t="e">
        <f>AND(#REF!,"AAAAAH/v79k=")</f>
        <v>#REF!</v>
      </c>
      <c r="HK3" s="34" t="e">
        <f>AND(#REF!,"AAAAAH/v79o=")</f>
        <v>#REF!</v>
      </c>
      <c r="HL3" s="34" t="e">
        <f>AND(#REF!,"AAAAAH/v79s=")</f>
        <v>#REF!</v>
      </c>
      <c r="HM3" s="34" t="e">
        <f>AND(#REF!,"AAAAAH/v79w=")</f>
        <v>#REF!</v>
      </c>
      <c r="HN3" s="34" t="e">
        <f>AND(#REF!,"AAAAAH/v790=")</f>
        <v>#REF!</v>
      </c>
      <c r="HO3" s="34" t="e">
        <f>AND(#REF!,"AAAAAH/v794=")</f>
        <v>#REF!</v>
      </c>
      <c r="HP3" s="34" t="e">
        <f>AND(#REF!,"AAAAAH/v798=")</f>
        <v>#REF!</v>
      </c>
      <c r="HQ3" s="34" t="e">
        <f>AND(#REF!,"AAAAAH/v7+A=")</f>
        <v>#REF!</v>
      </c>
      <c r="HR3" s="34" t="e">
        <f>AND(#REF!,"AAAAAH/v7+E=")</f>
        <v>#REF!</v>
      </c>
      <c r="HS3" s="34" t="e">
        <f>AND(#REF!,"AAAAAH/v7+I=")</f>
        <v>#REF!</v>
      </c>
      <c r="HT3" s="34" t="e">
        <f>AND(#REF!,"AAAAAH/v7+M=")</f>
        <v>#REF!</v>
      </c>
      <c r="HU3" s="34" t="e">
        <f>AND(#REF!,"AAAAAH/v7+Q=")</f>
        <v>#REF!</v>
      </c>
      <c r="HV3" s="34" t="e">
        <f>AND(#REF!,"AAAAAH/v7+U=")</f>
        <v>#REF!</v>
      </c>
      <c r="HW3" s="34" t="e">
        <f>AND(#REF!,"AAAAAH/v7+Y=")</f>
        <v>#REF!</v>
      </c>
      <c r="HX3" s="34" t="e">
        <f>AND(#REF!,"AAAAAH/v7+c=")</f>
        <v>#REF!</v>
      </c>
      <c r="HY3" s="34" t="e">
        <f>AND(#REF!,"AAAAAH/v7+g=")</f>
        <v>#REF!</v>
      </c>
      <c r="HZ3" s="34" t="e">
        <f>AND(#REF!,"AAAAAH/v7+k=")</f>
        <v>#REF!</v>
      </c>
      <c r="IA3" s="34" t="e">
        <f>AND(#REF!,"AAAAAH/v7+o=")</f>
        <v>#REF!</v>
      </c>
      <c r="IB3" s="34" t="e">
        <f>AND(#REF!,"AAAAAH/v7+s=")</f>
        <v>#REF!</v>
      </c>
      <c r="IC3" s="34" t="e">
        <f>AND(#REF!,"AAAAAH/v7+w=")</f>
        <v>#REF!</v>
      </c>
      <c r="ID3" s="34" t="e">
        <f>AND(#REF!,"AAAAAH/v7+0=")</f>
        <v>#REF!</v>
      </c>
      <c r="IE3" s="34" t="e">
        <f>AND(#REF!,"AAAAAH/v7+4=")</f>
        <v>#REF!</v>
      </c>
      <c r="IF3" s="34" t="e">
        <f>AND(#REF!,"AAAAAH/v7+8=")</f>
        <v>#REF!</v>
      </c>
      <c r="IG3" s="34" t="e">
        <f>AND(#REF!,"AAAAAH/v7/A=")</f>
        <v>#REF!</v>
      </c>
      <c r="IH3" s="34" t="e">
        <f>AND(#REF!,"AAAAAH/v7/E=")</f>
        <v>#REF!</v>
      </c>
      <c r="II3" s="34" t="e">
        <f>AND(#REF!,"AAAAAH/v7/I=")</f>
        <v>#REF!</v>
      </c>
      <c r="IJ3" s="34" t="e">
        <f>AND(#REF!,"AAAAAH/v7/M=")</f>
        <v>#REF!</v>
      </c>
      <c r="IK3" s="34" t="e">
        <f>AND(#REF!,"AAAAAH/v7/Q=")</f>
        <v>#REF!</v>
      </c>
      <c r="IL3" s="34" t="e">
        <f>AND(#REF!,"AAAAAH/v7/U=")</f>
        <v>#REF!</v>
      </c>
      <c r="IM3" s="34" t="e">
        <f>AND(#REF!,"AAAAAH/v7/Y=")</f>
        <v>#REF!</v>
      </c>
      <c r="IN3" s="34" t="e">
        <f>AND(#REF!,"AAAAAH/v7/c=")</f>
        <v>#REF!</v>
      </c>
      <c r="IO3" s="34" t="e">
        <f>AND(#REF!,"AAAAAH/v7/g=")</f>
        <v>#REF!</v>
      </c>
      <c r="IP3" s="34" t="e">
        <f>AND(#REF!,"AAAAAH/v7/k=")</f>
        <v>#REF!</v>
      </c>
      <c r="IQ3" s="34" t="e">
        <f>AND(#REF!,"AAAAAH/v7/o=")</f>
        <v>#REF!</v>
      </c>
      <c r="IR3" s="34" t="e">
        <f>AND(#REF!,"AAAAAH/v7/s=")</f>
        <v>#REF!</v>
      </c>
      <c r="IS3" s="34" t="e">
        <f>AND(#REF!,"AAAAAH/v7/w=")</f>
        <v>#REF!</v>
      </c>
      <c r="IT3" s="34" t="e">
        <f>AND(#REF!,"AAAAAH/v7/0=")</f>
        <v>#REF!</v>
      </c>
      <c r="IU3" s="34" t="e">
        <f>AND(#REF!,"AAAAAH/v7/4=")</f>
        <v>#REF!</v>
      </c>
      <c r="IV3" s="34" t="e">
        <f>AND(#REF!,"AAAAAH/v7/8=")</f>
        <v>#REF!</v>
      </c>
    </row>
    <row r="4" spans="1:256" ht="12.75" customHeight="1" x14ac:dyDescent="0.2">
      <c r="A4" s="34" t="e">
        <f>IF(#REF!,"AAAAAG6/1wA=",0)</f>
        <v>#REF!</v>
      </c>
      <c r="B4" s="34" t="e">
        <f>AND(#REF!,"AAAAAG6/1wE=")</f>
        <v>#REF!</v>
      </c>
      <c r="C4" s="34" t="e">
        <f>AND(#REF!,"AAAAAG6/1wI=")</f>
        <v>#REF!</v>
      </c>
      <c r="D4" s="34" t="e">
        <f>AND(#REF!,"AAAAAG6/1wM=")</f>
        <v>#REF!</v>
      </c>
      <c r="E4" s="34" t="e">
        <f>AND(#REF!,"AAAAAG6/1wQ=")</f>
        <v>#REF!</v>
      </c>
      <c r="F4" s="34" t="e">
        <f>AND(#REF!,"AAAAAG6/1wU=")</f>
        <v>#REF!</v>
      </c>
      <c r="G4" s="34" t="e">
        <f>AND(#REF!,"AAAAAG6/1wY=")</f>
        <v>#REF!</v>
      </c>
      <c r="H4" s="34" t="e">
        <f>AND(#REF!,"AAAAAG6/1wc=")</f>
        <v>#REF!</v>
      </c>
      <c r="I4" s="34" t="e">
        <f>AND(#REF!,"AAAAAG6/1wg=")</f>
        <v>#REF!</v>
      </c>
      <c r="J4" s="34" t="e">
        <f>AND(#REF!,"AAAAAG6/1wk=")</f>
        <v>#REF!</v>
      </c>
      <c r="K4" s="34" t="e">
        <f>AND(#REF!,"AAAAAG6/1wo=")</f>
        <v>#REF!</v>
      </c>
      <c r="L4" s="34" t="e">
        <f>AND(#REF!,"AAAAAG6/1ws=")</f>
        <v>#REF!</v>
      </c>
      <c r="M4" s="34" t="e">
        <f>AND(#REF!,"AAAAAG6/1ww=")</f>
        <v>#REF!</v>
      </c>
      <c r="N4" s="34" t="e">
        <f>AND(#REF!,"AAAAAG6/1w0=")</f>
        <v>#REF!</v>
      </c>
      <c r="O4" s="34" t="e">
        <f>AND(#REF!,"AAAAAG6/1w4=")</f>
        <v>#REF!</v>
      </c>
      <c r="P4" s="34" t="e">
        <f>AND(#REF!,"AAAAAG6/1w8=")</f>
        <v>#REF!</v>
      </c>
      <c r="Q4" s="34" t="e">
        <f>AND(#REF!,"AAAAAG6/1xA=")</f>
        <v>#REF!</v>
      </c>
      <c r="R4" s="34" t="e">
        <f>AND(#REF!,"AAAAAG6/1xE=")</f>
        <v>#REF!</v>
      </c>
      <c r="S4" s="34" t="e">
        <f>AND(#REF!,"AAAAAG6/1xI=")</f>
        <v>#REF!</v>
      </c>
      <c r="T4" s="34" t="e">
        <f>AND(#REF!,"AAAAAG6/1xM=")</f>
        <v>#REF!</v>
      </c>
      <c r="U4" s="34" t="e">
        <f>AND(#REF!,"AAAAAG6/1xQ=")</f>
        <v>#REF!</v>
      </c>
      <c r="V4" s="34" t="e">
        <f>AND(#REF!,"AAAAAG6/1xU=")</f>
        <v>#REF!</v>
      </c>
      <c r="W4" s="34" t="e">
        <f>AND(#REF!,"AAAAAG6/1xY=")</f>
        <v>#REF!</v>
      </c>
      <c r="X4" s="34" t="e">
        <f>AND(#REF!,"AAAAAG6/1xc=")</f>
        <v>#REF!</v>
      </c>
      <c r="Y4" s="34" t="e">
        <f>AND(#REF!,"AAAAAG6/1xg=")</f>
        <v>#REF!</v>
      </c>
      <c r="Z4" s="34" t="e">
        <f>AND(#REF!,"AAAAAG6/1xk=")</f>
        <v>#REF!</v>
      </c>
      <c r="AA4" s="34" t="e">
        <f>AND(#REF!,"AAAAAG6/1xo=")</f>
        <v>#REF!</v>
      </c>
      <c r="AB4" s="34" t="e">
        <f>AND(#REF!,"AAAAAG6/1xs=")</f>
        <v>#REF!</v>
      </c>
      <c r="AC4" s="34" t="e">
        <f>AND(#REF!,"AAAAAG6/1xw=")</f>
        <v>#REF!</v>
      </c>
      <c r="AD4" s="34" t="e">
        <f>AND(#REF!,"AAAAAG6/1x0=")</f>
        <v>#REF!</v>
      </c>
      <c r="AE4" s="34" t="e">
        <f>AND(#REF!,"AAAAAG6/1x4=")</f>
        <v>#REF!</v>
      </c>
      <c r="AF4" s="34" t="e">
        <f>AND(#REF!,"AAAAAG6/1x8=")</f>
        <v>#REF!</v>
      </c>
      <c r="AG4" s="34" t="e">
        <f>AND(#REF!,"AAAAAG6/1yA=")</f>
        <v>#REF!</v>
      </c>
      <c r="AH4" s="34" t="e">
        <f>AND(#REF!,"AAAAAG6/1yE=")</f>
        <v>#REF!</v>
      </c>
      <c r="AI4" s="34" t="e">
        <f>AND(#REF!,"AAAAAG6/1yI=")</f>
        <v>#REF!</v>
      </c>
      <c r="AJ4" s="34" t="e">
        <f>AND(#REF!,"AAAAAG6/1yM=")</f>
        <v>#REF!</v>
      </c>
      <c r="AK4" s="34" t="e">
        <f>AND(#REF!,"AAAAAG6/1yQ=")</f>
        <v>#REF!</v>
      </c>
      <c r="AL4" s="34" t="e">
        <f>AND(#REF!,"AAAAAG6/1yU=")</f>
        <v>#REF!</v>
      </c>
      <c r="AM4" s="34" t="e">
        <f>AND(#REF!,"AAAAAG6/1yY=")</f>
        <v>#REF!</v>
      </c>
      <c r="AN4" s="34" t="e">
        <f>AND(#REF!,"AAAAAG6/1yc=")</f>
        <v>#REF!</v>
      </c>
      <c r="AO4" s="34" t="e">
        <f>AND(#REF!,"AAAAAG6/1yg=")</f>
        <v>#REF!</v>
      </c>
      <c r="AP4" s="34" t="e">
        <f>AND(#REF!,"AAAAAG6/1yk=")</f>
        <v>#REF!</v>
      </c>
      <c r="AQ4" s="34" t="e">
        <f>AND(#REF!,"AAAAAG6/1yo=")</f>
        <v>#REF!</v>
      </c>
      <c r="AR4" s="34" t="e">
        <f>AND(#REF!,"AAAAAG6/1ys=")</f>
        <v>#REF!</v>
      </c>
      <c r="AS4" s="34" t="e">
        <f>AND(#REF!,"AAAAAG6/1yw=")</f>
        <v>#REF!</v>
      </c>
      <c r="AT4" s="34" t="e">
        <f>AND(#REF!,"AAAAAG6/1y0=")</f>
        <v>#REF!</v>
      </c>
      <c r="AU4" s="34" t="e">
        <f>IF(#REF!,"AAAAAG6/1y4=",0)</f>
        <v>#REF!</v>
      </c>
      <c r="AV4" s="34" t="e">
        <f>AND(#REF!,"AAAAAG6/1y8=")</f>
        <v>#REF!</v>
      </c>
      <c r="AW4" s="34" t="e">
        <f>AND(#REF!,"AAAAAG6/1zA=")</f>
        <v>#REF!</v>
      </c>
      <c r="AX4" s="34" t="e">
        <f>AND(#REF!,"AAAAAG6/1zE=")</f>
        <v>#REF!</v>
      </c>
      <c r="AY4" s="34" t="e">
        <f>AND(#REF!,"AAAAAG6/1zI=")</f>
        <v>#REF!</v>
      </c>
      <c r="AZ4" s="34" t="e">
        <f>AND(#REF!,"AAAAAG6/1zM=")</f>
        <v>#REF!</v>
      </c>
      <c r="BA4" s="34" t="e">
        <f>AND(#REF!,"AAAAAG6/1zQ=")</f>
        <v>#REF!</v>
      </c>
      <c r="BB4" s="34" t="e">
        <f>AND(#REF!,"AAAAAG6/1zU=")</f>
        <v>#REF!</v>
      </c>
      <c r="BC4" s="34" t="e">
        <f>AND(#REF!,"AAAAAG6/1zY=")</f>
        <v>#REF!</v>
      </c>
      <c r="BD4" s="34" t="e">
        <f>AND(#REF!,"AAAAAG6/1zc=")</f>
        <v>#REF!</v>
      </c>
      <c r="BE4" s="34" t="e">
        <f>AND(#REF!,"AAAAAG6/1zg=")</f>
        <v>#REF!</v>
      </c>
      <c r="BF4" s="34" t="e">
        <f>AND(#REF!,"AAAAAG6/1zk=")</f>
        <v>#REF!</v>
      </c>
      <c r="BG4" s="34" t="e">
        <f>AND(#REF!,"AAAAAG6/1zo=")</f>
        <v>#REF!</v>
      </c>
      <c r="BH4" s="34" t="e">
        <f>AND(#REF!,"AAAAAG6/1zs=")</f>
        <v>#REF!</v>
      </c>
      <c r="BI4" s="34" t="e">
        <f>AND(#REF!,"AAAAAG6/1zw=")</f>
        <v>#REF!</v>
      </c>
      <c r="BJ4" s="34" t="e">
        <f>AND(#REF!,"AAAAAG6/1z0=")</f>
        <v>#REF!</v>
      </c>
      <c r="BK4" s="34" t="e">
        <f>AND(#REF!,"AAAAAG6/1z4=")</f>
        <v>#REF!</v>
      </c>
      <c r="BL4" s="34" t="e">
        <f>AND(#REF!,"AAAAAG6/1z8=")</f>
        <v>#REF!</v>
      </c>
      <c r="BM4" s="34" t="e">
        <f>AND(#REF!,"AAAAAG6/10A=")</f>
        <v>#REF!</v>
      </c>
      <c r="BN4" s="34" t="e">
        <f>AND(#REF!,"AAAAAG6/10E=")</f>
        <v>#REF!</v>
      </c>
      <c r="BO4" s="34" t="e">
        <f>AND(#REF!,"AAAAAG6/10I=")</f>
        <v>#REF!</v>
      </c>
      <c r="BP4" s="34" t="e">
        <f>AND(#REF!,"AAAAAG6/10M=")</f>
        <v>#REF!</v>
      </c>
      <c r="BQ4" s="34" t="e">
        <f>AND(#REF!,"AAAAAG6/10Q=")</f>
        <v>#REF!</v>
      </c>
      <c r="BR4" s="34" t="e">
        <f>AND(#REF!,"AAAAAG6/10U=")</f>
        <v>#REF!</v>
      </c>
      <c r="BS4" s="34" t="e">
        <f>AND(#REF!,"AAAAAG6/10Y=")</f>
        <v>#REF!</v>
      </c>
      <c r="BT4" s="34" t="e">
        <f>AND(#REF!,"AAAAAG6/10c=")</f>
        <v>#REF!</v>
      </c>
      <c r="BU4" s="34" t="e">
        <f>AND(#REF!,"AAAAAG6/10g=")</f>
        <v>#REF!</v>
      </c>
      <c r="BV4" s="34" t="e">
        <f>AND(#REF!,"AAAAAG6/10k=")</f>
        <v>#REF!</v>
      </c>
      <c r="BW4" s="34" t="e">
        <f>AND(#REF!,"AAAAAG6/10o=")</f>
        <v>#REF!</v>
      </c>
      <c r="BX4" s="34" t="e">
        <f>AND(#REF!,"AAAAAG6/10s=")</f>
        <v>#REF!</v>
      </c>
      <c r="BY4" s="34" t="e">
        <f>AND(#REF!,"AAAAAG6/10w=")</f>
        <v>#REF!</v>
      </c>
      <c r="BZ4" s="34" t="e">
        <f>AND(#REF!,"AAAAAG6/100=")</f>
        <v>#REF!</v>
      </c>
      <c r="CA4" s="34" t="e">
        <f>AND(#REF!,"AAAAAG6/104=")</f>
        <v>#REF!</v>
      </c>
      <c r="CB4" s="34" t="e">
        <f>AND(#REF!,"AAAAAG6/108=")</f>
        <v>#REF!</v>
      </c>
      <c r="CC4" s="34" t="e">
        <f>AND(#REF!,"AAAAAG6/11A=")</f>
        <v>#REF!</v>
      </c>
      <c r="CD4" s="34" t="e">
        <f>AND(#REF!,"AAAAAG6/11E=")</f>
        <v>#REF!</v>
      </c>
      <c r="CE4" s="34" t="e">
        <f>AND(#REF!,"AAAAAG6/11I=")</f>
        <v>#REF!</v>
      </c>
      <c r="CF4" s="34" t="e">
        <f>AND(#REF!,"AAAAAG6/11M=")</f>
        <v>#REF!</v>
      </c>
      <c r="CG4" s="34" t="e">
        <f>AND(#REF!,"AAAAAG6/11Q=")</f>
        <v>#REF!</v>
      </c>
      <c r="CH4" s="34" t="e">
        <f>AND(#REF!,"AAAAAG6/11U=")</f>
        <v>#REF!</v>
      </c>
      <c r="CI4" s="34" t="e">
        <f>AND(#REF!,"AAAAAG6/11Y=")</f>
        <v>#REF!</v>
      </c>
      <c r="CJ4" s="34" t="e">
        <f>AND(#REF!,"AAAAAG6/11c=")</f>
        <v>#REF!</v>
      </c>
      <c r="CK4" s="34" t="e">
        <f>AND(#REF!,"AAAAAG6/11g=")</f>
        <v>#REF!</v>
      </c>
      <c r="CL4" s="34" t="e">
        <f>AND(#REF!,"AAAAAG6/11k=")</f>
        <v>#REF!</v>
      </c>
      <c r="CM4" s="34" t="e">
        <f>AND(#REF!,"AAAAAG6/11o=")</f>
        <v>#REF!</v>
      </c>
      <c r="CN4" s="34" t="e">
        <f>AND(#REF!,"AAAAAG6/11s=")</f>
        <v>#REF!</v>
      </c>
      <c r="CO4" s="34" t="e">
        <f>IF(#REF!,"AAAAAG6/11w=",0)</f>
        <v>#REF!</v>
      </c>
      <c r="CP4" s="34" t="e">
        <f>AND(#REF!,"AAAAAG6/110=")</f>
        <v>#REF!</v>
      </c>
      <c r="CQ4" s="34" t="e">
        <f>AND(#REF!,"AAAAAG6/114=")</f>
        <v>#REF!</v>
      </c>
      <c r="CR4" s="34" t="e">
        <f>AND(#REF!,"AAAAAG6/118=")</f>
        <v>#REF!</v>
      </c>
      <c r="CS4" s="34" t="e">
        <f>AND(#REF!,"AAAAAG6/12A=")</f>
        <v>#REF!</v>
      </c>
      <c r="CT4" s="34" t="e">
        <f>AND(#REF!,"AAAAAG6/12E=")</f>
        <v>#REF!</v>
      </c>
      <c r="CU4" s="34" t="e">
        <f>AND(#REF!,"AAAAAG6/12I=")</f>
        <v>#REF!</v>
      </c>
      <c r="CV4" s="34" t="e">
        <f>AND(#REF!,"AAAAAG6/12M=")</f>
        <v>#REF!</v>
      </c>
      <c r="CW4" s="34" t="e">
        <f>AND(#REF!,"AAAAAG6/12Q=")</f>
        <v>#REF!</v>
      </c>
      <c r="CX4" s="34" t="e">
        <f>AND(#REF!,"AAAAAG6/12U=")</f>
        <v>#REF!</v>
      </c>
      <c r="CY4" s="34" t="e">
        <f>AND(#REF!,"AAAAAG6/12Y=")</f>
        <v>#REF!</v>
      </c>
      <c r="CZ4" s="34" t="e">
        <f>AND(#REF!,"AAAAAG6/12c=")</f>
        <v>#REF!</v>
      </c>
      <c r="DA4" s="34" t="e">
        <f>AND(#REF!,"AAAAAG6/12g=")</f>
        <v>#REF!</v>
      </c>
      <c r="DB4" s="34" t="e">
        <f>AND(#REF!,"AAAAAG6/12k=")</f>
        <v>#REF!</v>
      </c>
      <c r="DC4" s="34" t="e">
        <f>AND(#REF!,"AAAAAG6/12o=")</f>
        <v>#REF!</v>
      </c>
      <c r="DD4" s="34" t="e">
        <f>AND(#REF!,"AAAAAG6/12s=")</f>
        <v>#REF!</v>
      </c>
      <c r="DE4" s="34" t="e">
        <f>AND(#REF!,"AAAAAG6/12w=")</f>
        <v>#REF!</v>
      </c>
      <c r="DF4" s="34" t="e">
        <f>AND(#REF!,"AAAAAG6/120=")</f>
        <v>#REF!</v>
      </c>
      <c r="DG4" s="34" t="e">
        <f>AND(#REF!,"AAAAAG6/124=")</f>
        <v>#REF!</v>
      </c>
      <c r="DH4" s="34" t="e">
        <f>AND(#REF!,"AAAAAG6/128=")</f>
        <v>#REF!</v>
      </c>
      <c r="DI4" s="34" t="e">
        <f>AND(#REF!,"AAAAAG6/13A=")</f>
        <v>#REF!</v>
      </c>
      <c r="DJ4" s="34" t="e">
        <f>AND(#REF!,"AAAAAG6/13E=")</f>
        <v>#REF!</v>
      </c>
      <c r="DK4" s="34" t="e">
        <f>AND(#REF!,"AAAAAG6/13I=")</f>
        <v>#REF!</v>
      </c>
      <c r="DL4" s="34" t="e">
        <f>AND(#REF!,"AAAAAG6/13M=")</f>
        <v>#REF!</v>
      </c>
      <c r="DM4" s="34" t="e">
        <f>AND(#REF!,"AAAAAG6/13Q=")</f>
        <v>#REF!</v>
      </c>
      <c r="DN4" s="34" t="e">
        <f>AND(#REF!,"AAAAAG6/13U=")</f>
        <v>#REF!</v>
      </c>
      <c r="DO4" s="34" t="e">
        <f>AND(#REF!,"AAAAAG6/13Y=")</f>
        <v>#REF!</v>
      </c>
      <c r="DP4" s="34" t="e">
        <f>AND(#REF!,"AAAAAG6/13c=")</f>
        <v>#REF!</v>
      </c>
      <c r="DQ4" s="34" t="e">
        <f>AND(#REF!,"AAAAAG6/13g=")</f>
        <v>#REF!</v>
      </c>
      <c r="DR4" s="34" t="e">
        <f>AND(#REF!,"AAAAAG6/13k=")</f>
        <v>#REF!</v>
      </c>
      <c r="DS4" s="34" t="e">
        <f>AND(#REF!,"AAAAAG6/13o=")</f>
        <v>#REF!</v>
      </c>
      <c r="DT4" s="34" t="e">
        <f>AND(#REF!,"AAAAAG6/13s=")</f>
        <v>#REF!</v>
      </c>
      <c r="DU4" s="34" t="e">
        <f>AND(#REF!,"AAAAAG6/13w=")</f>
        <v>#REF!</v>
      </c>
      <c r="DV4" s="34" t="e">
        <f>AND(#REF!,"AAAAAG6/130=")</f>
        <v>#REF!</v>
      </c>
      <c r="DW4" s="34" t="e">
        <f>AND(#REF!,"AAAAAG6/134=")</f>
        <v>#REF!</v>
      </c>
      <c r="DX4" s="34" t="e">
        <f>AND(#REF!,"AAAAAG6/138=")</f>
        <v>#REF!</v>
      </c>
      <c r="DY4" s="34" t="e">
        <f>AND(#REF!,"AAAAAG6/14A=")</f>
        <v>#REF!</v>
      </c>
      <c r="DZ4" s="34" t="e">
        <f>AND(#REF!,"AAAAAG6/14E=")</f>
        <v>#REF!</v>
      </c>
      <c r="EA4" s="34" t="e">
        <f>AND(#REF!,"AAAAAG6/14I=")</f>
        <v>#REF!</v>
      </c>
      <c r="EB4" s="34" t="e">
        <f>AND(#REF!,"AAAAAG6/14M=")</f>
        <v>#REF!</v>
      </c>
      <c r="EC4" s="34" t="e">
        <f>AND(#REF!,"AAAAAG6/14Q=")</f>
        <v>#REF!</v>
      </c>
      <c r="ED4" s="34" t="e">
        <f>AND(#REF!,"AAAAAG6/14U=")</f>
        <v>#REF!</v>
      </c>
      <c r="EE4" s="34" t="e">
        <f>AND(#REF!,"AAAAAG6/14Y=")</f>
        <v>#REF!</v>
      </c>
      <c r="EF4" s="34" t="e">
        <f>AND(#REF!,"AAAAAG6/14c=")</f>
        <v>#REF!</v>
      </c>
      <c r="EG4" s="34" t="e">
        <f>AND(#REF!,"AAAAAG6/14g=")</f>
        <v>#REF!</v>
      </c>
      <c r="EH4" s="34" t="e">
        <f>AND(#REF!,"AAAAAG6/14k=")</f>
        <v>#REF!</v>
      </c>
      <c r="EI4" s="34" t="e">
        <f>IF(#REF!,"AAAAAG6/14o=",0)</f>
        <v>#REF!</v>
      </c>
      <c r="EJ4" s="34" t="e">
        <f>AND(#REF!,"AAAAAG6/14s=")</f>
        <v>#REF!</v>
      </c>
      <c r="EK4" s="34" t="e">
        <f>AND(#REF!,"AAAAAG6/14w=")</f>
        <v>#REF!</v>
      </c>
      <c r="EL4" s="34" t="e">
        <f>AND(#REF!,"AAAAAG6/140=")</f>
        <v>#REF!</v>
      </c>
      <c r="EM4" s="34" t="e">
        <f>AND(#REF!,"AAAAAG6/144=")</f>
        <v>#REF!</v>
      </c>
      <c r="EN4" s="34" t="e">
        <f>AND(#REF!,"AAAAAG6/148=")</f>
        <v>#REF!</v>
      </c>
      <c r="EO4" s="34" t="e">
        <f>AND(#REF!,"AAAAAG6/15A=")</f>
        <v>#REF!</v>
      </c>
      <c r="EP4" s="34" t="e">
        <f>AND(#REF!,"AAAAAG6/15E=")</f>
        <v>#REF!</v>
      </c>
      <c r="EQ4" s="34" t="e">
        <f>AND(#REF!,"AAAAAG6/15I=")</f>
        <v>#REF!</v>
      </c>
      <c r="ER4" s="34" t="e">
        <f>AND(#REF!,"AAAAAG6/15M=")</f>
        <v>#REF!</v>
      </c>
      <c r="ES4" s="34" t="e">
        <f>AND(#REF!,"AAAAAG6/15Q=")</f>
        <v>#REF!</v>
      </c>
      <c r="ET4" s="34" t="e">
        <f>AND(#REF!,"AAAAAG6/15U=")</f>
        <v>#REF!</v>
      </c>
      <c r="EU4" s="34" t="e">
        <f>AND(#REF!,"AAAAAG6/15Y=")</f>
        <v>#REF!</v>
      </c>
      <c r="EV4" s="34" t="e">
        <f>AND(#REF!,"AAAAAG6/15c=")</f>
        <v>#REF!</v>
      </c>
      <c r="EW4" s="34" t="e">
        <f>AND(#REF!,"AAAAAG6/15g=")</f>
        <v>#REF!</v>
      </c>
      <c r="EX4" s="34" t="e">
        <f>AND(#REF!,"AAAAAG6/15k=")</f>
        <v>#REF!</v>
      </c>
      <c r="EY4" s="34" t="e">
        <f>AND(#REF!,"AAAAAG6/15o=")</f>
        <v>#REF!</v>
      </c>
      <c r="EZ4" s="34" t="e">
        <f>AND(#REF!,"AAAAAG6/15s=")</f>
        <v>#REF!</v>
      </c>
      <c r="FA4" s="34" t="e">
        <f>AND(#REF!,"AAAAAG6/15w=")</f>
        <v>#REF!</v>
      </c>
      <c r="FB4" s="34" t="e">
        <f>AND(#REF!,"AAAAAG6/150=")</f>
        <v>#REF!</v>
      </c>
      <c r="FC4" s="34" t="e">
        <f>AND(#REF!,"AAAAAG6/154=")</f>
        <v>#REF!</v>
      </c>
      <c r="FD4" s="34" t="e">
        <f>AND(#REF!,"AAAAAG6/158=")</f>
        <v>#REF!</v>
      </c>
      <c r="FE4" s="34" t="e">
        <f>AND(#REF!,"AAAAAG6/16A=")</f>
        <v>#REF!</v>
      </c>
      <c r="FF4" s="34" t="e">
        <f>AND(#REF!,"AAAAAG6/16E=")</f>
        <v>#REF!</v>
      </c>
      <c r="FG4" s="34" t="e">
        <f>AND(#REF!,"AAAAAG6/16I=")</f>
        <v>#REF!</v>
      </c>
      <c r="FH4" s="34" t="e">
        <f>AND(#REF!,"AAAAAG6/16M=")</f>
        <v>#REF!</v>
      </c>
      <c r="FI4" s="34" t="e">
        <f>AND(#REF!,"AAAAAG6/16Q=")</f>
        <v>#REF!</v>
      </c>
      <c r="FJ4" s="34" t="e">
        <f>AND(#REF!,"AAAAAG6/16U=")</f>
        <v>#REF!</v>
      </c>
      <c r="FK4" s="34" t="e">
        <f>AND(#REF!,"AAAAAG6/16Y=")</f>
        <v>#REF!</v>
      </c>
      <c r="FL4" s="34" t="e">
        <f>AND(#REF!,"AAAAAG6/16c=")</f>
        <v>#REF!</v>
      </c>
      <c r="FM4" s="34" t="e">
        <f>AND(#REF!,"AAAAAG6/16g=")</f>
        <v>#REF!</v>
      </c>
      <c r="FN4" s="34" t="e">
        <f>AND(#REF!,"AAAAAG6/16k=")</f>
        <v>#REF!</v>
      </c>
      <c r="FO4" s="34" t="e">
        <f>AND(#REF!,"AAAAAG6/16o=")</f>
        <v>#REF!</v>
      </c>
      <c r="FP4" s="34" t="e">
        <f>AND(#REF!,"AAAAAG6/16s=")</f>
        <v>#REF!</v>
      </c>
      <c r="FQ4" s="34" t="e">
        <f>AND(#REF!,"AAAAAG6/16w=")</f>
        <v>#REF!</v>
      </c>
      <c r="FR4" s="34" t="e">
        <f>AND(#REF!,"AAAAAG6/160=")</f>
        <v>#REF!</v>
      </c>
      <c r="FS4" s="34" t="e">
        <f>AND(#REF!,"AAAAAG6/164=")</f>
        <v>#REF!</v>
      </c>
      <c r="FT4" s="34" t="e">
        <f>AND(#REF!,"AAAAAG6/168=")</f>
        <v>#REF!</v>
      </c>
      <c r="FU4" s="34" t="e">
        <f>AND(#REF!,"AAAAAG6/17A=")</f>
        <v>#REF!</v>
      </c>
      <c r="FV4" s="34" t="e">
        <f>AND(#REF!,"AAAAAG6/17E=")</f>
        <v>#REF!</v>
      </c>
      <c r="FW4" s="34" t="e">
        <f>AND(#REF!,"AAAAAG6/17I=")</f>
        <v>#REF!</v>
      </c>
      <c r="FX4" s="34" t="e">
        <f>AND(#REF!,"AAAAAG6/17M=")</f>
        <v>#REF!</v>
      </c>
      <c r="FY4" s="34" t="e">
        <f>AND(#REF!,"AAAAAG6/17Q=")</f>
        <v>#REF!</v>
      </c>
      <c r="FZ4" s="34" t="e">
        <f>AND(#REF!,"AAAAAG6/17U=")</f>
        <v>#REF!</v>
      </c>
      <c r="GA4" s="34" t="e">
        <f>AND(#REF!,"AAAAAG6/17Y=")</f>
        <v>#REF!</v>
      </c>
      <c r="GB4" s="34" t="e">
        <f>AND(#REF!,"AAAAAG6/17c=")</f>
        <v>#REF!</v>
      </c>
      <c r="GC4" s="34" t="e">
        <f>IF(#REF!,"AAAAAG6/17g=",0)</f>
        <v>#REF!</v>
      </c>
      <c r="GD4" s="34" t="e">
        <f>AND(#REF!,"AAAAAG6/17k=")</f>
        <v>#REF!</v>
      </c>
      <c r="GE4" s="34" t="e">
        <f>AND(#REF!,"AAAAAG6/17o=")</f>
        <v>#REF!</v>
      </c>
      <c r="GF4" s="34" t="e">
        <f>AND(#REF!,"AAAAAG6/17s=")</f>
        <v>#REF!</v>
      </c>
      <c r="GG4" s="34" t="e">
        <f>AND(#REF!,"AAAAAG6/17w=")</f>
        <v>#REF!</v>
      </c>
      <c r="GH4" s="34" t="e">
        <f>AND(#REF!,"AAAAAG6/170=")</f>
        <v>#REF!</v>
      </c>
      <c r="GI4" s="34" t="e">
        <f>AND(#REF!,"AAAAAG6/174=")</f>
        <v>#REF!</v>
      </c>
      <c r="GJ4" s="34" t="e">
        <f>AND(#REF!,"AAAAAG6/178=")</f>
        <v>#REF!</v>
      </c>
      <c r="GK4" s="34" t="e">
        <f>AND(#REF!,"AAAAAG6/18A=")</f>
        <v>#REF!</v>
      </c>
      <c r="GL4" s="34" t="e">
        <f>AND(#REF!,"AAAAAG6/18E=")</f>
        <v>#REF!</v>
      </c>
      <c r="GM4" s="34" t="e">
        <f>AND(#REF!,"AAAAAG6/18I=")</f>
        <v>#REF!</v>
      </c>
      <c r="GN4" s="34" t="e">
        <f>AND(#REF!,"AAAAAG6/18M=")</f>
        <v>#REF!</v>
      </c>
      <c r="GO4" s="34" t="e">
        <f>AND(#REF!,"AAAAAG6/18Q=")</f>
        <v>#REF!</v>
      </c>
      <c r="GP4" s="34" t="e">
        <f>AND(#REF!,"AAAAAG6/18U=")</f>
        <v>#REF!</v>
      </c>
      <c r="GQ4" s="34" t="e">
        <f>AND(#REF!,"AAAAAG6/18Y=")</f>
        <v>#REF!</v>
      </c>
      <c r="GR4" s="34" t="e">
        <f>AND(#REF!,"AAAAAG6/18c=")</f>
        <v>#REF!</v>
      </c>
      <c r="GS4" s="34" t="e">
        <f>AND(#REF!,"AAAAAG6/18g=")</f>
        <v>#REF!</v>
      </c>
      <c r="GT4" s="34" t="e">
        <f>AND(#REF!,"AAAAAG6/18k=")</f>
        <v>#REF!</v>
      </c>
      <c r="GU4" s="34" t="e">
        <f>AND(#REF!,"AAAAAG6/18o=")</f>
        <v>#REF!</v>
      </c>
      <c r="GV4" s="34" t="e">
        <f>AND(#REF!,"AAAAAG6/18s=")</f>
        <v>#REF!</v>
      </c>
      <c r="GW4" s="34" t="e">
        <f>AND(#REF!,"AAAAAG6/18w=")</f>
        <v>#REF!</v>
      </c>
      <c r="GX4" s="34" t="e">
        <f>AND(#REF!,"AAAAAG6/180=")</f>
        <v>#REF!</v>
      </c>
      <c r="GY4" s="34" t="e">
        <f>AND(#REF!,"AAAAAG6/184=")</f>
        <v>#REF!</v>
      </c>
      <c r="GZ4" s="34" t="e">
        <f>AND(#REF!,"AAAAAG6/188=")</f>
        <v>#REF!</v>
      </c>
      <c r="HA4" s="34" t="e">
        <f>AND(#REF!,"AAAAAG6/19A=")</f>
        <v>#REF!</v>
      </c>
      <c r="HB4" s="34" t="e">
        <f>AND(#REF!,"AAAAAG6/19E=")</f>
        <v>#REF!</v>
      </c>
      <c r="HC4" s="34" t="e">
        <f>AND(#REF!,"AAAAAG6/19I=")</f>
        <v>#REF!</v>
      </c>
      <c r="HD4" s="34" t="e">
        <f>AND(#REF!,"AAAAAG6/19M=")</f>
        <v>#REF!</v>
      </c>
      <c r="HE4" s="34" t="e">
        <f>AND(#REF!,"AAAAAG6/19Q=")</f>
        <v>#REF!</v>
      </c>
      <c r="HF4" s="34" t="e">
        <f>AND(#REF!,"AAAAAG6/19U=")</f>
        <v>#REF!</v>
      </c>
      <c r="HG4" s="34" t="e">
        <f>AND(#REF!,"AAAAAG6/19Y=")</f>
        <v>#REF!</v>
      </c>
      <c r="HH4" s="34" t="e">
        <f>AND(#REF!,"AAAAAG6/19c=")</f>
        <v>#REF!</v>
      </c>
      <c r="HI4" s="34" t="e">
        <f>AND(#REF!,"AAAAAG6/19g=")</f>
        <v>#REF!</v>
      </c>
      <c r="HJ4" s="34" t="e">
        <f>AND(#REF!,"AAAAAG6/19k=")</f>
        <v>#REF!</v>
      </c>
      <c r="HK4" s="34" t="e">
        <f>AND(#REF!,"AAAAAG6/19o=")</f>
        <v>#REF!</v>
      </c>
      <c r="HL4" s="34" t="e">
        <f>AND(#REF!,"AAAAAG6/19s=")</f>
        <v>#REF!</v>
      </c>
      <c r="HM4" s="34" t="e">
        <f>AND(#REF!,"AAAAAG6/19w=")</f>
        <v>#REF!</v>
      </c>
      <c r="HN4" s="34" t="e">
        <f>AND(#REF!,"AAAAAG6/190=")</f>
        <v>#REF!</v>
      </c>
      <c r="HO4" s="34" t="e">
        <f>AND(#REF!,"AAAAAG6/194=")</f>
        <v>#REF!</v>
      </c>
      <c r="HP4" s="34" t="e">
        <f>AND(#REF!,"AAAAAG6/198=")</f>
        <v>#REF!</v>
      </c>
      <c r="HQ4" s="34" t="e">
        <f>AND(#REF!,"AAAAAG6/1+A=")</f>
        <v>#REF!</v>
      </c>
      <c r="HR4" s="34" t="e">
        <f>AND(#REF!,"AAAAAG6/1+E=")</f>
        <v>#REF!</v>
      </c>
      <c r="HS4" s="34" t="e">
        <f>AND(#REF!,"AAAAAG6/1+I=")</f>
        <v>#REF!</v>
      </c>
      <c r="HT4" s="34" t="e">
        <f>AND(#REF!,"AAAAAG6/1+M=")</f>
        <v>#REF!</v>
      </c>
      <c r="HU4" s="34" t="e">
        <f>AND(#REF!,"AAAAAG6/1+Q=")</f>
        <v>#REF!</v>
      </c>
      <c r="HV4" s="34" t="e">
        <f>AND(#REF!,"AAAAAG6/1+U=")</f>
        <v>#REF!</v>
      </c>
      <c r="HW4" s="34" t="e">
        <f>IF(#REF!,"AAAAAG6/1+Y=",0)</f>
        <v>#REF!</v>
      </c>
      <c r="HX4" s="34" t="e">
        <f>AND(#REF!,"AAAAAG6/1+c=")</f>
        <v>#REF!</v>
      </c>
      <c r="HY4" s="34" t="e">
        <f>AND(#REF!,"AAAAAG6/1+g=")</f>
        <v>#REF!</v>
      </c>
      <c r="HZ4" s="34" t="e">
        <f>AND(#REF!,"AAAAAG6/1+k=")</f>
        <v>#REF!</v>
      </c>
      <c r="IA4" s="34" t="e">
        <f>AND(#REF!,"AAAAAG6/1+o=")</f>
        <v>#REF!</v>
      </c>
      <c r="IB4" s="34" t="e">
        <f>AND(#REF!,"AAAAAG6/1+s=")</f>
        <v>#REF!</v>
      </c>
      <c r="IC4" s="34" t="e">
        <f>AND(#REF!,"AAAAAG6/1+w=")</f>
        <v>#REF!</v>
      </c>
      <c r="ID4" s="34" t="e">
        <f>AND(#REF!,"AAAAAG6/1+0=")</f>
        <v>#REF!</v>
      </c>
      <c r="IE4" s="34" t="e">
        <f>AND(#REF!,"AAAAAG6/1+4=")</f>
        <v>#REF!</v>
      </c>
      <c r="IF4" s="34" t="e">
        <f>AND(#REF!,"AAAAAG6/1+8=")</f>
        <v>#REF!</v>
      </c>
      <c r="IG4" s="34" t="e">
        <f>AND(#REF!,"AAAAAG6/1/A=")</f>
        <v>#REF!</v>
      </c>
      <c r="IH4" s="34" t="e">
        <f>AND(#REF!,"AAAAAG6/1/E=")</f>
        <v>#REF!</v>
      </c>
      <c r="II4" s="34" t="e">
        <f>AND(#REF!,"AAAAAG6/1/I=")</f>
        <v>#REF!</v>
      </c>
      <c r="IJ4" s="34" t="e">
        <f>AND(#REF!,"AAAAAG6/1/M=")</f>
        <v>#REF!</v>
      </c>
      <c r="IK4" s="34" t="e">
        <f>AND(#REF!,"AAAAAG6/1/Q=")</f>
        <v>#REF!</v>
      </c>
      <c r="IL4" s="34" t="e">
        <f>AND(#REF!,"AAAAAG6/1/U=")</f>
        <v>#REF!</v>
      </c>
      <c r="IM4" s="34" t="e">
        <f>AND(#REF!,"AAAAAG6/1/Y=")</f>
        <v>#REF!</v>
      </c>
      <c r="IN4" s="34" t="e">
        <f>AND(#REF!,"AAAAAG6/1/c=")</f>
        <v>#REF!</v>
      </c>
      <c r="IO4" s="34" t="e">
        <f>AND(#REF!,"AAAAAG6/1/g=")</f>
        <v>#REF!</v>
      </c>
      <c r="IP4" s="34" t="e">
        <f>AND(#REF!,"AAAAAG6/1/k=")</f>
        <v>#REF!</v>
      </c>
      <c r="IQ4" s="34" t="e">
        <f>AND(#REF!,"AAAAAG6/1/o=")</f>
        <v>#REF!</v>
      </c>
      <c r="IR4" s="34" t="e">
        <f>AND(#REF!,"AAAAAG6/1/s=")</f>
        <v>#REF!</v>
      </c>
      <c r="IS4" s="34" t="e">
        <f>AND(#REF!,"AAAAAG6/1/w=")</f>
        <v>#REF!</v>
      </c>
      <c r="IT4" s="34" t="e">
        <f>AND(#REF!,"AAAAAG6/1/0=")</f>
        <v>#REF!</v>
      </c>
      <c r="IU4" s="34" t="e">
        <f>AND(#REF!,"AAAAAG6/1/4=")</f>
        <v>#REF!</v>
      </c>
      <c r="IV4" s="34" t="e">
        <f>AND(#REF!,"AAAAAG6/1/8=")</f>
        <v>#REF!</v>
      </c>
    </row>
    <row r="5" spans="1:256" ht="12.75" customHeight="1" x14ac:dyDescent="0.2">
      <c r="A5" s="34" t="e">
        <f>AND(#REF!,"AAAAAH6n3gA=")</f>
        <v>#REF!</v>
      </c>
      <c r="B5" s="34" t="e">
        <f>AND(#REF!,"AAAAAH6n3gE=")</f>
        <v>#REF!</v>
      </c>
      <c r="C5" s="34" t="e">
        <f>AND(#REF!,"AAAAAH6n3gI=")</f>
        <v>#REF!</v>
      </c>
      <c r="D5" s="34" t="e">
        <f>AND(#REF!,"AAAAAH6n3gM=")</f>
        <v>#REF!</v>
      </c>
      <c r="E5" s="34" t="e">
        <f>AND(#REF!,"AAAAAH6n3gQ=")</f>
        <v>#REF!</v>
      </c>
      <c r="F5" s="34" t="e">
        <f>AND(#REF!,"AAAAAH6n3gU=")</f>
        <v>#REF!</v>
      </c>
      <c r="G5" s="34" t="e">
        <f>AND(#REF!,"AAAAAH6n3gY=")</f>
        <v>#REF!</v>
      </c>
      <c r="H5" s="34" t="e">
        <f>AND(#REF!,"AAAAAH6n3gc=")</f>
        <v>#REF!</v>
      </c>
      <c r="I5" s="34" t="e">
        <f>AND(#REF!,"AAAAAH6n3gg=")</f>
        <v>#REF!</v>
      </c>
      <c r="J5" s="34" t="e">
        <f>AND(#REF!,"AAAAAH6n3gk=")</f>
        <v>#REF!</v>
      </c>
      <c r="K5" s="34" t="e">
        <f>AND(#REF!,"AAAAAH6n3go=")</f>
        <v>#REF!</v>
      </c>
      <c r="L5" s="34" t="e">
        <f>AND(#REF!,"AAAAAH6n3gs=")</f>
        <v>#REF!</v>
      </c>
      <c r="M5" s="34" t="e">
        <f>AND(#REF!,"AAAAAH6n3gw=")</f>
        <v>#REF!</v>
      </c>
      <c r="N5" s="34" t="e">
        <f>AND(#REF!,"AAAAAH6n3g0=")</f>
        <v>#REF!</v>
      </c>
      <c r="O5" s="34" t="e">
        <f>AND(#REF!,"AAAAAH6n3g4=")</f>
        <v>#REF!</v>
      </c>
      <c r="P5" s="34" t="e">
        <f>AND(#REF!,"AAAAAH6n3g8=")</f>
        <v>#REF!</v>
      </c>
      <c r="Q5" s="34" t="e">
        <f>AND(#REF!,"AAAAAH6n3hA=")</f>
        <v>#REF!</v>
      </c>
      <c r="R5" s="34" t="e">
        <f>AND(#REF!,"AAAAAH6n3hE=")</f>
        <v>#REF!</v>
      </c>
      <c r="S5" s="34" t="e">
        <f>AND(#REF!,"AAAAAH6n3hI=")</f>
        <v>#REF!</v>
      </c>
      <c r="T5" s="34" t="e">
        <f>AND(#REF!,"AAAAAH6n3hM=")</f>
        <v>#REF!</v>
      </c>
      <c r="U5" s="34" t="e">
        <f>IF(#REF!,"AAAAAH6n3hQ=",0)</f>
        <v>#REF!</v>
      </c>
      <c r="V5" s="34" t="e">
        <f>AND(#REF!,"AAAAAH6n3hU=")</f>
        <v>#REF!</v>
      </c>
      <c r="W5" s="34" t="e">
        <f>AND(#REF!,"AAAAAH6n3hY=")</f>
        <v>#REF!</v>
      </c>
      <c r="X5" s="34" t="e">
        <f>AND(#REF!,"AAAAAH6n3hc=")</f>
        <v>#REF!</v>
      </c>
      <c r="Y5" s="34" t="e">
        <f>AND(#REF!,"AAAAAH6n3hg=")</f>
        <v>#REF!</v>
      </c>
      <c r="Z5" s="34" t="e">
        <f>AND(#REF!,"AAAAAH6n3hk=")</f>
        <v>#REF!</v>
      </c>
      <c r="AA5" s="34" t="e">
        <f>AND(#REF!,"AAAAAH6n3ho=")</f>
        <v>#REF!</v>
      </c>
      <c r="AB5" s="34" t="e">
        <f>AND(#REF!,"AAAAAH6n3hs=")</f>
        <v>#REF!</v>
      </c>
      <c r="AC5" s="34" t="e">
        <f>AND(#REF!,"AAAAAH6n3hw=")</f>
        <v>#REF!</v>
      </c>
      <c r="AD5" s="34" t="e">
        <f>AND(#REF!,"AAAAAH6n3h0=")</f>
        <v>#REF!</v>
      </c>
      <c r="AE5" s="34" t="e">
        <f>AND(#REF!,"AAAAAH6n3h4=")</f>
        <v>#REF!</v>
      </c>
      <c r="AF5" s="34" t="e">
        <f>AND(#REF!,"AAAAAH6n3h8=")</f>
        <v>#REF!</v>
      </c>
      <c r="AG5" s="34" t="e">
        <f>AND(#REF!,"AAAAAH6n3iA=")</f>
        <v>#REF!</v>
      </c>
      <c r="AH5" s="34" t="e">
        <f>AND(#REF!,"AAAAAH6n3iE=")</f>
        <v>#REF!</v>
      </c>
      <c r="AI5" s="34" t="e">
        <f>AND(#REF!,"AAAAAH6n3iI=")</f>
        <v>#REF!</v>
      </c>
      <c r="AJ5" s="34" t="e">
        <f>AND(#REF!,"AAAAAH6n3iM=")</f>
        <v>#REF!</v>
      </c>
      <c r="AK5" s="34" t="e">
        <f>AND(#REF!,"AAAAAH6n3iQ=")</f>
        <v>#REF!</v>
      </c>
      <c r="AL5" s="34" t="e">
        <f>AND(#REF!,"AAAAAH6n3iU=")</f>
        <v>#REF!</v>
      </c>
      <c r="AM5" s="34" t="e">
        <f>AND(#REF!,"AAAAAH6n3iY=")</f>
        <v>#REF!</v>
      </c>
      <c r="AN5" s="34" t="e">
        <f>AND(#REF!,"AAAAAH6n3ic=")</f>
        <v>#REF!</v>
      </c>
      <c r="AO5" s="34" t="e">
        <f>AND(#REF!,"AAAAAH6n3ig=")</f>
        <v>#REF!</v>
      </c>
      <c r="AP5" s="34" t="e">
        <f>AND(#REF!,"AAAAAH6n3ik=")</f>
        <v>#REF!</v>
      </c>
      <c r="AQ5" s="34" t="e">
        <f>AND(#REF!,"AAAAAH6n3io=")</f>
        <v>#REF!</v>
      </c>
      <c r="AR5" s="34" t="e">
        <f>AND(#REF!,"AAAAAH6n3is=")</f>
        <v>#REF!</v>
      </c>
      <c r="AS5" s="34" t="e">
        <f>AND(#REF!,"AAAAAH6n3iw=")</f>
        <v>#REF!</v>
      </c>
      <c r="AT5" s="34" t="e">
        <f>AND(#REF!,"AAAAAH6n3i0=")</f>
        <v>#REF!</v>
      </c>
      <c r="AU5" s="34" t="e">
        <f>AND(#REF!,"AAAAAH6n3i4=")</f>
        <v>#REF!</v>
      </c>
      <c r="AV5" s="34" t="e">
        <f>AND(#REF!,"AAAAAH6n3i8=")</f>
        <v>#REF!</v>
      </c>
      <c r="AW5" s="34" t="e">
        <f>AND(#REF!,"AAAAAH6n3jA=")</f>
        <v>#REF!</v>
      </c>
      <c r="AX5" s="34" t="e">
        <f>AND(#REF!,"AAAAAH6n3jE=")</f>
        <v>#REF!</v>
      </c>
      <c r="AY5" s="34" t="e">
        <f>AND(#REF!,"AAAAAH6n3jI=")</f>
        <v>#REF!</v>
      </c>
      <c r="AZ5" s="34" t="e">
        <f>AND(#REF!,"AAAAAH6n3jM=")</f>
        <v>#REF!</v>
      </c>
      <c r="BA5" s="34" t="e">
        <f>AND(#REF!,"AAAAAH6n3jQ=")</f>
        <v>#REF!</v>
      </c>
      <c r="BB5" s="34" t="e">
        <f>AND(#REF!,"AAAAAH6n3jU=")</f>
        <v>#REF!</v>
      </c>
      <c r="BC5" s="34" t="e">
        <f>AND(#REF!,"AAAAAH6n3jY=")</f>
        <v>#REF!</v>
      </c>
      <c r="BD5" s="34" t="e">
        <f>AND(#REF!,"AAAAAH6n3jc=")</f>
        <v>#REF!</v>
      </c>
      <c r="BE5" s="34" t="e">
        <f>AND(#REF!,"AAAAAH6n3jg=")</f>
        <v>#REF!</v>
      </c>
      <c r="BF5" s="34" t="e">
        <f>AND(#REF!,"AAAAAH6n3jk=")</f>
        <v>#REF!</v>
      </c>
      <c r="BG5" s="34" t="e">
        <f>AND(#REF!,"AAAAAH6n3jo=")</f>
        <v>#REF!</v>
      </c>
      <c r="BH5" s="34" t="e">
        <f>AND(#REF!,"AAAAAH6n3js=")</f>
        <v>#REF!</v>
      </c>
      <c r="BI5" s="34" t="e">
        <f>AND(#REF!,"AAAAAH6n3jw=")</f>
        <v>#REF!</v>
      </c>
      <c r="BJ5" s="34" t="e">
        <f>AND(#REF!,"AAAAAH6n3j0=")</f>
        <v>#REF!</v>
      </c>
      <c r="BK5" s="34" t="e">
        <f>AND(#REF!,"AAAAAH6n3j4=")</f>
        <v>#REF!</v>
      </c>
      <c r="BL5" s="34" t="e">
        <f>AND(#REF!,"AAAAAH6n3j8=")</f>
        <v>#REF!</v>
      </c>
      <c r="BM5" s="34" t="e">
        <f>AND(#REF!,"AAAAAH6n3kA=")</f>
        <v>#REF!</v>
      </c>
      <c r="BN5" s="34" t="e">
        <f>AND(#REF!,"AAAAAH6n3kE=")</f>
        <v>#REF!</v>
      </c>
      <c r="BO5" s="34" t="e">
        <f>IF(#REF!,"AAAAAH6n3kI=",0)</f>
        <v>#REF!</v>
      </c>
      <c r="BP5" s="34" t="e">
        <f>AND(#REF!,"AAAAAH6n3kM=")</f>
        <v>#REF!</v>
      </c>
      <c r="BQ5" s="34" t="e">
        <f>AND(#REF!,"AAAAAH6n3kQ=")</f>
        <v>#REF!</v>
      </c>
      <c r="BR5" s="34" t="e">
        <f>AND(#REF!,"AAAAAH6n3kU=")</f>
        <v>#REF!</v>
      </c>
      <c r="BS5" s="34" t="e">
        <f>AND(#REF!,"AAAAAH6n3kY=")</f>
        <v>#REF!</v>
      </c>
      <c r="BT5" s="34" t="e">
        <f>AND(#REF!,"AAAAAH6n3kc=")</f>
        <v>#REF!</v>
      </c>
      <c r="BU5" s="34" t="e">
        <f>AND(#REF!,"AAAAAH6n3kg=")</f>
        <v>#REF!</v>
      </c>
      <c r="BV5" s="34" t="e">
        <f>AND(#REF!,"AAAAAH6n3kk=")</f>
        <v>#REF!</v>
      </c>
      <c r="BW5" s="34" t="e">
        <f>AND(#REF!,"AAAAAH6n3ko=")</f>
        <v>#REF!</v>
      </c>
      <c r="BX5" s="34" t="e">
        <f>AND(#REF!,"AAAAAH6n3ks=")</f>
        <v>#REF!</v>
      </c>
      <c r="BY5" s="34" t="e">
        <f>AND(#REF!,"AAAAAH6n3kw=")</f>
        <v>#REF!</v>
      </c>
      <c r="BZ5" s="34" t="e">
        <f>AND(#REF!,"AAAAAH6n3k0=")</f>
        <v>#REF!</v>
      </c>
      <c r="CA5" s="34" t="e">
        <f>AND(#REF!,"AAAAAH6n3k4=")</f>
        <v>#REF!</v>
      </c>
      <c r="CB5" s="34" t="e">
        <f>AND(#REF!,"AAAAAH6n3k8=")</f>
        <v>#REF!</v>
      </c>
      <c r="CC5" s="34" t="e">
        <f>AND(#REF!,"AAAAAH6n3lA=")</f>
        <v>#REF!</v>
      </c>
      <c r="CD5" s="34" t="e">
        <f>AND(#REF!,"AAAAAH6n3lE=")</f>
        <v>#REF!</v>
      </c>
      <c r="CE5" s="34" t="e">
        <f>AND(#REF!,"AAAAAH6n3lI=")</f>
        <v>#REF!</v>
      </c>
      <c r="CF5" s="34" t="e">
        <f>AND(#REF!,"AAAAAH6n3lM=")</f>
        <v>#REF!</v>
      </c>
      <c r="CG5" s="34" t="e">
        <f>AND(#REF!,"AAAAAH6n3lQ=")</f>
        <v>#REF!</v>
      </c>
      <c r="CH5" s="34" t="e">
        <f>AND(#REF!,"AAAAAH6n3lU=")</f>
        <v>#REF!</v>
      </c>
      <c r="CI5" s="34" t="e">
        <f>AND(#REF!,"AAAAAH6n3lY=")</f>
        <v>#REF!</v>
      </c>
      <c r="CJ5" s="34" t="e">
        <f>AND(#REF!,"AAAAAH6n3lc=")</f>
        <v>#REF!</v>
      </c>
      <c r="CK5" s="34" t="e">
        <f>AND(#REF!,"AAAAAH6n3lg=")</f>
        <v>#REF!</v>
      </c>
      <c r="CL5" s="34" t="e">
        <f>AND(#REF!,"AAAAAH6n3lk=")</f>
        <v>#REF!</v>
      </c>
      <c r="CM5" s="34" t="e">
        <f>AND(#REF!,"AAAAAH6n3lo=")</f>
        <v>#REF!</v>
      </c>
      <c r="CN5" s="34" t="e">
        <f>AND(#REF!,"AAAAAH6n3ls=")</f>
        <v>#REF!</v>
      </c>
      <c r="CO5" s="34" t="e">
        <f>AND(#REF!,"AAAAAH6n3lw=")</f>
        <v>#REF!</v>
      </c>
      <c r="CP5" s="34" t="e">
        <f>AND(#REF!,"AAAAAH6n3l0=")</f>
        <v>#REF!</v>
      </c>
      <c r="CQ5" s="34" t="e">
        <f>AND(#REF!,"AAAAAH6n3l4=")</f>
        <v>#REF!</v>
      </c>
      <c r="CR5" s="34" t="e">
        <f>AND(#REF!,"AAAAAH6n3l8=")</f>
        <v>#REF!</v>
      </c>
      <c r="CS5" s="34" t="e">
        <f>AND(#REF!,"AAAAAH6n3mA=")</f>
        <v>#REF!</v>
      </c>
      <c r="CT5" s="34" t="e">
        <f>AND(#REF!,"AAAAAH6n3mE=")</f>
        <v>#REF!</v>
      </c>
      <c r="CU5" s="34" t="e">
        <f>AND(#REF!,"AAAAAH6n3mI=")</f>
        <v>#REF!</v>
      </c>
      <c r="CV5" s="34" t="e">
        <f>AND(#REF!,"AAAAAH6n3mM=")</f>
        <v>#REF!</v>
      </c>
      <c r="CW5" s="34" t="e">
        <f>AND(#REF!,"AAAAAH6n3mQ=")</f>
        <v>#REF!</v>
      </c>
      <c r="CX5" s="34" t="e">
        <f>AND(#REF!,"AAAAAH6n3mU=")</f>
        <v>#REF!</v>
      </c>
      <c r="CY5" s="34" t="e">
        <f>AND(#REF!,"AAAAAH6n3mY=")</f>
        <v>#REF!</v>
      </c>
      <c r="CZ5" s="34" t="e">
        <f>AND(#REF!,"AAAAAH6n3mc=")</f>
        <v>#REF!</v>
      </c>
      <c r="DA5" s="34" t="e">
        <f>AND(#REF!,"AAAAAH6n3mg=")</f>
        <v>#REF!</v>
      </c>
      <c r="DB5" s="34" t="e">
        <f>AND(#REF!,"AAAAAH6n3mk=")</f>
        <v>#REF!</v>
      </c>
      <c r="DC5" s="34" t="e">
        <f>AND(#REF!,"AAAAAH6n3mo=")</f>
        <v>#REF!</v>
      </c>
      <c r="DD5" s="34" t="e">
        <f>AND(#REF!,"AAAAAH6n3ms=")</f>
        <v>#REF!</v>
      </c>
      <c r="DE5" s="34" t="e">
        <f>AND(#REF!,"AAAAAH6n3mw=")</f>
        <v>#REF!</v>
      </c>
      <c r="DF5" s="34" t="e">
        <f>AND(#REF!,"AAAAAH6n3m0=")</f>
        <v>#REF!</v>
      </c>
      <c r="DG5" s="34" t="e">
        <f>AND(#REF!,"AAAAAH6n3m4=")</f>
        <v>#REF!</v>
      </c>
      <c r="DH5" s="34" t="e">
        <f>AND(#REF!,"AAAAAH6n3m8=")</f>
        <v>#REF!</v>
      </c>
      <c r="DI5" s="34" t="e">
        <f>IF(#REF!,"AAAAAH6n3nA=",0)</f>
        <v>#REF!</v>
      </c>
      <c r="DJ5" s="34" t="e">
        <f>AND(#REF!,"AAAAAH6n3nE=")</f>
        <v>#REF!</v>
      </c>
      <c r="DK5" s="34" t="e">
        <f>AND(#REF!,"AAAAAH6n3nI=")</f>
        <v>#REF!</v>
      </c>
      <c r="DL5" s="34" t="e">
        <f>AND(#REF!,"AAAAAH6n3nM=")</f>
        <v>#REF!</v>
      </c>
      <c r="DM5" s="34" t="e">
        <f>AND(#REF!,"AAAAAH6n3nQ=")</f>
        <v>#REF!</v>
      </c>
      <c r="DN5" s="34" t="e">
        <f>AND(#REF!,"AAAAAH6n3nU=")</f>
        <v>#REF!</v>
      </c>
      <c r="DO5" s="34" t="e">
        <f>AND(#REF!,"AAAAAH6n3nY=")</f>
        <v>#REF!</v>
      </c>
      <c r="DP5" s="34" t="e">
        <f>AND(#REF!,"AAAAAH6n3nc=")</f>
        <v>#REF!</v>
      </c>
      <c r="DQ5" s="34" t="e">
        <f>AND(#REF!,"AAAAAH6n3ng=")</f>
        <v>#REF!</v>
      </c>
      <c r="DR5" s="34" t="e">
        <f>AND(#REF!,"AAAAAH6n3nk=")</f>
        <v>#REF!</v>
      </c>
      <c r="DS5" s="34" t="e">
        <f>AND(#REF!,"AAAAAH6n3no=")</f>
        <v>#REF!</v>
      </c>
      <c r="DT5" s="34" t="e">
        <f>AND(#REF!,"AAAAAH6n3ns=")</f>
        <v>#REF!</v>
      </c>
      <c r="DU5" s="34" t="e">
        <f>AND(#REF!,"AAAAAH6n3nw=")</f>
        <v>#REF!</v>
      </c>
      <c r="DV5" s="34" t="e">
        <f>AND(#REF!,"AAAAAH6n3n0=")</f>
        <v>#REF!</v>
      </c>
      <c r="DW5" s="34" t="e">
        <f>AND(#REF!,"AAAAAH6n3n4=")</f>
        <v>#REF!</v>
      </c>
      <c r="DX5" s="34" t="e">
        <f>AND(#REF!,"AAAAAH6n3n8=")</f>
        <v>#REF!</v>
      </c>
      <c r="DY5" s="34" t="e">
        <f>AND(#REF!,"AAAAAH6n3oA=")</f>
        <v>#REF!</v>
      </c>
      <c r="DZ5" s="34" t="e">
        <f>AND(#REF!,"AAAAAH6n3oE=")</f>
        <v>#REF!</v>
      </c>
      <c r="EA5" s="34" t="e">
        <f>AND(#REF!,"AAAAAH6n3oI=")</f>
        <v>#REF!</v>
      </c>
      <c r="EB5" s="34" t="e">
        <f>AND(#REF!,"AAAAAH6n3oM=")</f>
        <v>#REF!</v>
      </c>
      <c r="EC5" s="34" t="e">
        <f>AND(#REF!,"AAAAAH6n3oQ=")</f>
        <v>#REF!</v>
      </c>
      <c r="ED5" s="34" t="e">
        <f>AND(#REF!,"AAAAAH6n3oU=")</f>
        <v>#REF!</v>
      </c>
      <c r="EE5" s="34" t="e">
        <f>AND(#REF!,"AAAAAH6n3oY=")</f>
        <v>#REF!</v>
      </c>
      <c r="EF5" s="34" t="e">
        <f>AND(#REF!,"AAAAAH6n3oc=")</f>
        <v>#REF!</v>
      </c>
      <c r="EG5" s="34" t="e">
        <f>AND(#REF!,"AAAAAH6n3og=")</f>
        <v>#REF!</v>
      </c>
      <c r="EH5" s="34" t="e">
        <f>AND(#REF!,"AAAAAH6n3ok=")</f>
        <v>#REF!</v>
      </c>
      <c r="EI5" s="34" t="e">
        <f>AND(#REF!,"AAAAAH6n3oo=")</f>
        <v>#REF!</v>
      </c>
      <c r="EJ5" s="34" t="e">
        <f>AND(#REF!,"AAAAAH6n3os=")</f>
        <v>#REF!</v>
      </c>
      <c r="EK5" s="34" t="e">
        <f>AND(#REF!,"AAAAAH6n3ow=")</f>
        <v>#REF!</v>
      </c>
      <c r="EL5" s="34" t="e">
        <f>AND(#REF!,"AAAAAH6n3o0=")</f>
        <v>#REF!</v>
      </c>
      <c r="EM5" s="34" t="e">
        <f>AND(#REF!,"AAAAAH6n3o4=")</f>
        <v>#REF!</v>
      </c>
      <c r="EN5" s="34" t="e">
        <f>AND(#REF!,"AAAAAH6n3o8=")</f>
        <v>#REF!</v>
      </c>
      <c r="EO5" s="34" t="e">
        <f>AND(#REF!,"AAAAAH6n3pA=")</f>
        <v>#REF!</v>
      </c>
      <c r="EP5" s="34" t="e">
        <f>AND(#REF!,"AAAAAH6n3pE=")</f>
        <v>#REF!</v>
      </c>
      <c r="EQ5" s="34" t="e">
        <f>AND(#REF!,"AAAAAH6n3pI=")</f>
        <v>#REF!</v>
      </c>
      <c r="ER5" s="34" t="e">
        <f>AND(#REF!,"AAAAAH6n3pM=")</f>
        <v>#REF!</v>
      </c>
      <c r="ES5" s="34" t="e">
        <f>AND(#REF!,"AAAAAH6n3pQ=")</f>
        <v>#REF!</v>
      </c>
      <c r="ET5" s="34" t="e">
        <f>AND(#REF!,"AAAAAH6n3pU=")</f>
        <v>#REF!</v>
      </c>
      <c r="EU5" s="34" t="e">
        <f>AND(#REF!,"AAAAAH6n3pY=")</f>
        <v>#REF!</v>
      </c>
      <c r="EV5" s="34" t="e">
        <f>AND(#REF!,"AAAAAH6n3pc=")</f>
        <v>#REF!</v>
      </c>
      <c r="EW5" s="34" t="e">
        <f>AND(#REF!,"AAAAAH6n3pg=")</f>
        <v>#REF!</v>
      </c>
      <c r="EX5" s="34" t="e">
        <f>AND(#REF!,"AAAAAH6n3pk=")</f>
        <v>#REF!</v>
      </c>
      <c r="EY5" s="34" t="e">
        <f>AND(#REF!,"AAAAAH6n3po=")</f>
        <v>#REF!</v>
      </c>
      <c r="EZ5" s="34" t="e">
        <f>AND(#REF!,"AAAAAH6n3ps=")</f>
        <v>#REF!</v>
      </c>
      <c r="FA5" s="34" t="e">
        <f>AND(#REF!,"AAAAAH6n3pw=")</f>
        <v>#REF!</v>
      </c>
      <c r="FB5" s="34" t="e">
        <f>AND(#REF!,"AAAAAH6n3p0=")</f>
        <v>#REF!</v>
      </c>
      <c r="FC5" s="34" t="e">
        <f>IF(#REF!,"AAAAAH6n3p4=",0)</f>
        <v>#REF!</v>
      </c>
      <c r="FD5" s="34" t="e">
        <f>AND(#REF!,"AAAAAH6n3p8=")</f>
        <v>#REF!</v>
      </c>
      <c r="FE5" s="34" t="e">
        <f>AND(#REF!,"AAAAAH6n3qA=")</f>
        <v>#REF!</v>
      </c>
      <c r="FF5" s="34" t="e">
        <f>AND(#REF!,"AAAAAH6n3qE=")</f>
        <v>#REF!</v>
      </c>
      <c r="FG5" s="34" t="e">
        <f>AND(#REF!,"AAAAAH6n3qI=")</f>
        <v>#REF!</v>
      </c>
      <c r="FH5" s="34" t="e">
        <f>AND(#REF!,"AAAAAH6n3qM=")</f>
        <v>#REF!</v>
      </c>
      <c r="FI5" s="34" t="e">
        <f>AND(#REF!,"AAAAAH6n3qQ=")</f>
        <v>#REF!</v>
      </c>
      <c r="FJ5" s="34" t="e">
        <f>AND(#REF!,"AAAAAH6n3qU=")</f>
        <v>#REF!</v>
      </c>
      <c r="FK5" s="34" t="e">
        <f>AND(#REF!,"AAAAAH6n3qY=")</f>
        <v>#REF!</v>
      </c>
      <c r="FL5" s="34" t="e">
        <f>AND(#REF!,"AAAAAH6n3qc=")</f>
        <v>#REF!</v>
      </c>
      <c r="FM5" s="34" t="e">
        <f>AND(#REF!,"AAAAAH6n3qg=")</f>
        <v>#REF!</v>
      </c>
      <c r="FN5" s="34" t="e">
        <f>AND(#REF!,"AAAAAH6n3qk=")</f>
        <v>#REF!</v>
      </c>
      <c r="FO5" s="34" t="e">
        <f>AND(#REF!,"AAAAAH6n3qo=")</f>
        <v>#REF!</v>
      </c>
      <c r="FP5" s="34" t="e">
        <f>AND(#REF!,"AAAAAH6n3qs=")</f>
        <v>#REF!</v>
      </c>
      <c r="FQ5" s="34" t="e">
        <f>AND(#REF!,"AAAAAH6n3qw=")</f>
        <v>#REF!</v>
      </c>
      <c r="FR5" s="34" t="e">
        <f>AND(#REF!,"AAAAAH6n3q0=")</f>
        <v>#REF!</v>
      </c>
      <c r="FS5" s="34" t="e">
        <f>AND(#REF!,"AAAAAH6n3q4=")</f>
        <v>#REF!</v>
      </c>
      <c r="FT5" s="34" t="e">
        <f>AND(#REF!,"AAAAAH6n3q8=")</f>
        <v>#REF!</v>
      </c>
      <c r="FU5" s="34" t="e">
        <f>AND(#REF!,"AAAAAH6n3rA=")</f>
        <v>#REF!</v>
      </c>
      <c r="FV5" s="34" t="e">
        <f>AND(#REF!,"AAAAAH6n3rE=")</f>
        <v>#REF!</v>
      </c>
      <c r="FW5" s="34" t="e">
        <f>AND(#REF!,"AAAAAH6n3rI=")</f>
        <v>#REF!</v>
      </c>
      <c r="FX5" s="34" t="e">
        <f>AND(#REF!,"AAAAAH6n3rM=")</f>
        <v>#REF!</v>
      </c>
      <c r="FY5" s="34" t="e">
        <f>AND(#REF!,"AAAAAH6n3rQ=")</f>
        <v>#REF!</v>
      </c>
      <c r="FZ5" s="34" t="e">
        <f>AND(#REF!,"AAAAAH6n3rU=")</f>
        <v>#REF!</v>
      </c>
      <c r="GA5" s="34" t="e">
        <f>AND(#REF!,"AAAAAH6n3rY=")</f>
        <v>#REF!</v>
      </c>
      <c r="GB5" s="34" t="e">
        <f>AND(#REF!,"AAAAAH6n3rc=")</f>
        <v>#REF!</v>
      </c>
      <c r="GC5" s="34" t="e">
        <f>AND(#REF!,"AAAAAH6n3rg=")</f>
        <v>#REF!</v>
      </c>
      <c r="GD5" s="34" t="e">
        <f>AND(#REF!,"AAAAAH6n3rk=")</f>
        <v>#REF!</v>
      </c>
      <c r="GE5" s="34" t="e">
        <f>AND(#REF!,"AAAAAH6n3ro=")</f>
        <v>#REF!</v>
      </c>
      <c r="GF5" s="34" t="e">
        <f>AND(#REF!,"AAAAAH6n3rs=")</f>
        <v>#REF!</v>
      </c>
      <c r="GG5" s="34" t="e">
        <f>AND(#REF!,"AAAAAH6n3rw=")</f>
        <v>#REF!</v>
      </c>
      <c r="GH5" s="34" t="e">
        <f>AND(#REF!,"AAAAAH6n3r0=")</f>
        <v>#REF!</v>
      </c>
      <c r="GI5" s="34" t="e">
        <f>AND(#REF!,"AAAAAH6n3r4=")</f>
        <v>#REF!</v>
      </c>
      <c r="GJ5" s="34" t="e">
        <f>AND(#REF!,"AAAAAH6n3r8=")</f>
        <v>#REF!</v>
      </c>
      <c r="GK5" s="34" t="e">
        <f>AND(#REF!,"AAAAAH6n3sA=")</f>
        <v>#REF!</v>
      </c>
      <c r="GL5" s="34" t="e">
        <f>AND(#REF!,"AAAAAH6n3sE=")</f>
        <v>#REF!</v>
      </c>
      <c r="GM5" s="34" t="e">
        <f>AND(#REF!,"AAAAAH6n3sI=")</f>
        <v>#REF!</v>
      </c>
      <c r="GN5" s="34" t="e">
        <f>AND(#REF!,"AAAAAH6n3sM=")</f>
        <v>#REF!</v>
      </c>
      <c r="GO5" s="34" t="e">
        <f>AND(#REF!,"AAAAAH6n3sQ=")</f>
        <v>#REF!</v>
      </c>
      <c r="GP5" s="34" t="e">
        <f>AND(#REF!,"AAAAAH6n3sU=")</f>
        <v>#REF!</v>
      </c>
      <c r="GQ5" s="34" t="e">
        <f>AND(#REF!,"AAAAAH6n3sY=")</f>
        <v>#REF!</v>
      </c>
      <c r="GR5" s="34" t="e">
        <f>AND(#REF!,"AAAAAH6n3sc=")</f>
        <v>#REF!</v>
      </c>
      <c r="GS5" s="34" t="e">
        <f>AND(#REF!,"AAAAAH6n3sg=")</f>
        <v>#REF!</v>
      </c>
      <c r="GT5" s="34" t="e">
        <f>AND(#REF!,"AAAAAH6n3sk=")</f>
        <v>#REF!</v>
      </c>
      <c r="GU5" s="34" t="e">
        <f>AND(#REF!,"AAAAAH6n3so=")</f>
        <v>#REF!</v>
      </c>
      <c r="GV5" s="34" t="e">
        <f>AND(#REF!,"AAAAAH6n3ss=")</f>
        <v>#REF!</v>
      </c>
      <c r="GW5" s="34" t="e">
        <f>IF(#REF!,"AAAAAH6n3sw=",0)</f>
        <v>#REF!</v>
      </c>
      <c r="GX5" s="34" t="e">
        <f>AND(#REF!,"AAAAAH6n3s0=")</f>
        <v>#REF!</v>
      </c>
      <c r="GY5" s="34" t="e">
        <f>AND(#REF!,"AAAAAH6n3s4=")</f>
        <v>#REF!</v>
      </c>
      <c r="GZ5" s="34" t="e">
        <f>AND(#REF!,"AAAAAH6n3s8=")</f>
        <v>#REF!</v>
      </c>
      <c r="HA5" s="34" t="e">
        <f>AND(#REF!,"AAAAAH6n3tA=")</f>
        <v>#REF!</v>
      </c>
      <c r="HB5" s="34" t="e">
        <f>AND(#REF!,"AAAAAH6n3tE=")</f>
        <v>#REF!</v>
      </c>
      <c r="HC5" s="34" t="e">
        <f>AND(#REF!,"AAAAAH6n3tI=")</f>
        <v>#REF!</v>
      </c>
      <c r="HD5" s="34" t="e">
        <f>AND(#REF!,"AAAAAH6n3tM=")</f>
        <v>#REF!</v>
      </c>
      <c r="HE5" s="34" t="e">
        <f>AND(#REF!,"AAAAAH6n3tQ=")</f>
        <v>#REF!</v>
      </c>
      <c r="HF5" s="34" t="e">
        <f>AND(#REF!,"AAAAAH6n3tU=")</f>
        <v>#REF!</v>
      </c>
      <c r="HG5" s="34" t="e">
        <f>AND(#REF!,"AAAAAH6n3tY=")</f>
        <v>#REF!</v>
      </c>
      <c r="HH5" s="34" t="e">
        <f>AND(#REF!,"AAAAAH6n3tc=")</f>
        <v>#REF!</v>
      </c>
      <c r="HI5" s="34" t="e">
        <f>AND(#REF!,"AAAAAH6n3tg=")</f>
        <v>#REF!</v>
      </c>
      <c r="HJ5" s="34" t="e">
        <f>AND(#REF!,"AAAAAH6n3tk=")</f>
        <v>#REF!</v>
      </c>
      <c r="HK5" s="34" t="e">
        <f>AND(#REF!,"AAAAAH6n3to=")</f>
        <v>#REF!</v>
      </c>
      <c r="HL5" s="34" t="e">
        <f>AND(#REF!,"AAAAAH6n3ts=")</f>
        <v>#REF!</v>
      </c>
      <c r="HM5" s="34" t="e">
        <f>AND(#REF!,"AAAAAH6n3tw=")</f>
        <v>#REF!</v>
      </c>
      <c r="HN5" s="34" t="e">
        <f>AND(#REF!,"AAAAAH6n3t0=")</f>
        <v>#REF!</v>
      </c>
      <c r="HO5" s="34" t="e">
        <f>AND(#REF!,"AAAAAH6n3t4=")</f>
        <v>#REF!</v>
      </c>
      <c r="HP5" s="34" t="e">
        <f>AND(#REF!,"AAAAAH6n3t8=")</f>
        <v>#REF!</v>
      </c>
      <c r="HQ5" s="34" t="e">
        <f>AND(#REF!,"AAAAAH6n3uA=")</f>
        <v>#REF!</v>
      </c>
      <c r="HR5" s="34" t="e">
        <f>AND(#REF!,"AAAAAH6n3uE=")</f>
        <v>#REF!</v>
      </c>
      <c r="HS5" s="34" t="e">
        <f>AND(#REF!,"AAAAAH6n3uI=")</f>
        <v>#REF!</v>
      </c>
      <c r="HT5" s="34" t="e">
        <f>AND(#REF!,"AAAAAH6n3uM=")</f>
        <v>#REF!</v>
      </c>
      <c r="HU5" s="34" t="e">
        <f>AND(#REF!,"AAAAAH6n3uQ=")</f>
        <v>#REF!</v>
      </c>
      <c r="HV5" s="34" t="e">
        <f>AND(#REF!,"AAAAAH6n3uU=")</f>
        <v>#REF!</v>
      </c>
      <c r="HW5" s="34" t="e">
        <f>AND(#REF!,"AAAAAH6n3uY=")</f>
        <v>#REF!</v>
      </c>
      <c r="HX5" s="34" t="e">
        <f>AND(#REF!,"AAAAAH6n3uc=")</f>
        <v>#REF!</v>
      </c>
      <c r="HY5" s="34" t="e">
        <f>AND(#REF!,"AAAAAH6n3ug=")</f>
        <v>#REF!</v>
      </c>
      <c r="HZ5" s="34" t="e">
        <f>AND(#REF!,"AAAAAH6n3uk=")</f>
        <v>#REF!</v>
      </c>
      <c r="IA5" s="34" t="e">
        <f>AND(#REF!,"AAAAAH6n3uo=")</f>
        <v>#REF!</v>
      </c>
      <c r="IB5" s="34" t="e">
        <f>AND(#REF!,"AAAAAH6n3us=")</f>
        <v>#REF!</v>
      </c>
      <c r="IC5" s="34" t="e">
        <f>AND(#REF!,"AAAAAH6n3uw=")</f>
        <v>#REF!</v>
      </c>
      <c r="ID5" s="34" t="e">
        <f>AND(#REF!,"AAAAAH6n3u0=")</f>
        <v>#REF!</v>
      </c>
      <c r="IE5" s="34" t="e">
        <f>AND(#REF!,"AAAAAH6n3u4=")</f>
        <v>#REF!</v>
      </c>
      <c r="IF5" s="34" t="e">
        <f>AND(#REF!,"AAAAAH6n3u8=")</f>
        <v>#REF!</v>
      </c>
      <c r="IG5" s="34" t="e">
        <f>AND(#REF!,"AAAAAH6n3vA=")</f>
        <v>#REF!</v>
      </c>
      <c r="IH5" s="34" t="e">
        <f>AND(#REF!,"AAAAAH6n3vE=")</f>
        <v>#REF!</v>
      </c>
      <c r="II5" s="34" t="e">
        <f>AND(#REF!,"AAAAAH6n3vI=")</f>
        <v>#REF!</v>
      </c>
      <c r="IJ5" s="34" t="e">
        <f>AND(#REF!,"AAAAAH6n3vM=")</f>
        <v>#REF!</v>
      </c>
      <c r="IK5" s="34" t="e">
        <f>AND(#REF!,"AAAAAH6n3vQ=")</f>
        <v>#REF!</v>
      </c>
      <c r="IL5" s="34" t="e">
        <f>AND(#REF!,"AAAAAH6n3vU=")</f>
        <v>#REF!</v>
      </c>
      <c r="IM5" s="34" t="e">
        <f>AND(#REF!,"AAAAAH6n3vY=")</f>
        <v>#REF!</v>
      </c>
      <c r="IN5" s="34" t="e">
        <f>AND(#REF!,"AAAAAH6n3vc=")</f>
        <v>#REF!</v>
      </c>
      <c r="IO5" s="34" t="e">
        <f>AND(#REF!,"AAAAAH6n3vg=")</f>
        <v>#REF!</v>
      </c>
      <c r="IP5" s="34" t="e">
        <f>AND(#REF!,"AAAAAH6n3vk=")</f>
        <v>#REF!</v>
      </c>
      <c r="IQ5" s="34" t="e">
        <f>IF(#REF!,"AAAAAH6n3vo=",0)</f>
        <v>#REF!</v>
      </c>
      <c r="IR5" s="34" t="e">
        <f>AND(#REF!,"AAAAAH6n3vs=")</f>
        <v>#REF!</v>
      </c>
      <c r="IS5" s="34" t="e">
        <f>AND(#REF!,"AAAAAH6n3vw=")</f>
        <v>#REF!</v>
      </c>
      <c r="IT5" s="34" t="e">
        <f>AND(#REF!,"AAAAAH6n3v0=")</f>
        <v>#REF!</v>
      </c>
      <c r="IU5" s="34" t="e">
        <f>AND(#REF!,"AAAAAH6n3v4=")</f>
        <v>#REF!</v>
      </c>
      <c r="IV5" s="34" t="e">
        <f>AND(#REF!,"AAAAAH6n3v8=")</f>
        <v>#REF!</v>
      </c>
    </row>
    <row r="6" spans="1:256" ht="12.75" customHeight="1" x14ac:dyDescent="0.2">
      <c r="A6" s="34" t="e">
        <f>AND(#REF!,"AAAAAD9uvAA=")</f>
        <v>#REF!</v>
      </c>
      <c r="B6" s="34" t="e">
        <f>AND(#REF!,"AAAAAD9uvAE=")</f>
        <v>#REF!</v>
      </c>
      <c r="C6" s="34" t="e">
        <f>AND(#REF!,"AAAAAD9uvAI=")</f>
        <v>#REF!</v>
      </c>
      <c r="D6" s="34" t="e">
        <f>AND(#REF!,"AAAAAD9uvAM=")</f>
        <v>#REF!</v>
      </c>
      <c r="E6" s="34" t="e">
        <f>AND(#REF!,"AAAAAD9uvAQ=")</f>
        <v>#REF!</v>
      </c>
      <c r="F6" s="34" t="e">
        <f>AND(#REF!,"AAAAAD9uvAU=")</f>
        <v>#REF!</v>
      </c>
      <c r="G6" s="34" t="e">
        <f>AND(#REF!,"AAAAAD9uvAY=")</f>
        <v>#REF!</v>
      </c>
      <c r="H6" s="34" t="e">
        <f>AND(#REF!,"AAAAAD9uvAc=")</f>
        <v>#REF!</v>
      </c>
      <c r="I6" s="34" t="e">
        <f>AND(#REF!,"AAAAAD9uvAg=")</f>
        <v>#REF!</v>
      </c>
      <c r="J6" s="34" t="e">
        <f>AND(#REF!,"AAAAAD9uvAk=")</f>
        <v>#REF!</v>
      </c>
      <c r="K6" s="34" t="e">
        <f>AND(#REF!,"AAAAAD9uvAo=")</f>
        <v>#REF!</v>
      </c>
      <c r="L6" s="34" t="e">
        <f>AND(#REF!,"AAAAAD9uvAs=")</f>
        <v>#REF!</v>
      </c>
      <c r="M6" s="34" t="e">
        <f>AND(#REF!,"AAAAAD9uvAw=")</f>
        <v>#REF!</v>
      </c>
      <c r="N6" s="34" t="e">
        <f>AND(#REF!,"AAAAAD9uvA0=")</f>
        <v>#REF!</v>
      </c>
      <c r="O6" s="34" t="e">
        <f>AND(#REF!,"AAAAAD9uvA4=")</f>
        <v>#REF!</v>
      </c>
      <c r="P6" s="34" t="e">
        <f>AND(#REF!,"AAAAAD9uvA8=")</f>
        <v>#REF!</v>
      </c>
      <c r="Q6" s="34" t="e">
        <f>AND(#REF!,"AAAAAD9uvBA=")</f>
        <v>#REF!</v>
      </c>
      <c r="R6" s="34" t="e">
        <f>AND(#REF!,"AAAAAD9uvBE=")</f>
        <v>#REF!</v>
      </c>
      <c r="S6" s="34" t="e">
        <f>AND(#REF!,"AAAAAD9uvBI=")</f>
        <v>#REF!</v>
      </c>
      <c r="T6" s="34" t="e">
        <f>AND(#REF!,"AAAAAD9uvBM=")</f>
        <v>#REF!</v>
      </c>
      <c r="U6" s="34" t="e">
        <f>AND(#REF!,"AAAAAD9uvBQ=")</f>
        <v>#REF!</v>
      </c>
      <c r="V6" s="34" t="e">
        <f>AND(#REF!,"AAAAAD9uvBU=")</f>
        <v>#REF!</v>
      </c>
      <c r="W6" s="34" t="e">
        <f>AND(#REF!,"AAAAAD9uvBY=")</f>
        <v>#REF!</v>
      </c>
      <c r="X6" s="34" t="e">
        <f>AND(#REF!,"AAAAAD9uvBc=")</f>
        <v>#REF!</v>
      </c>
      <c r="Y6" s="34" t="e">
        <f>AND(#REF!,"AAAAAD9uvBg=")</f>
        <v>#REF!</v>
      </c>
      <c r="Z6" s="34" t="e">
        <f>AND(#REF!,"AAAAAD9uvBk=")</f>
        <v>#REF!</v>
      </c>
      <c r="AA6" s="34" t="e">
        <f>AND(#REF!,"AAAAAD9uvBo=")</f>
        <v>#REF!</v>
      </c>
      <c r="AB6" s="34" t="e">
        <f>AND(#REF!,"AAAAAD9uvBs=")</f>
        <v>#REF!</v>
      </c>
      <c r="AC6" s="34" t="e">
        <f>AND(#REF!,"AAAAAD9uvBw=")</f>
        <v>#REF!</v>
      </c>
      <c r="AD6" s="34" t="e">
        <f>AND(#REF!,"AAAAAD9uvB0=")</f>
        <v>#REF!</v>
      </c>
      <c r="AE6" s="34" t="e">
        <f>AND(#REF!,"AAAAAD9uvB4=")</f>
        <v>#REF!</v>
      </c>
      <c r="AF6" s="34" t="e">
        <f>AND(#REF!,"AAAAAD9uvB8=")</f>
        <v>#REF!</v>
      </c>
      <c r="AG6" s="34" t="e">
        <f>AND(#REF!,"AAAAAD9uvCA=")</f>
        <v>#REF!</v>
      </c>
      <c r="AH6" s="34" t="e">
        <f>AND(#REF!,"AAAAAD9uvCE=")</f>
        <v>#REF!</v>
      </c>
      <c r="AI6" s="34" t="e">
        <f>AND(#REF!,"AAAAAD9uvCI=")</f>
        <v>#REF!</v>
      </c>
      <c r="AJ6" s="34" t="e">
        <f>AND(#REF!,"AAAAAD9uvCM=")</f>
        <v>#REF!</v>
      </c>
      <c r="AK6" s="34" t="e">
        <f>AND(#REF!,"AAAAAD9uvCQ=")</f>
        <v>#REF!</v>
      </c>
      <c r="AL6" s="34" t="e">
        <f>AND(#REF!,"AAAAAD9uvCU=")</f>
        <v>#REF!</v>
      </c>
      <c r="AM6" s="34" t="e">
        <f>AND(#REF!,"AAAAAD9uvCY=")</f>
        <v>#REF!</v>
      </c>
      <c r="AN6" s="34" t="e">
        <f>AND(#REF!,"AAAAAD9uvCc=")</f>
        <v>#REF!</v>
      </c>
      <c r="AO6" s="34" t="e">
        <f>IF(#REF!,"AAAAAD9uvCg=",0)</f>
        <v>#REF!</v>
      </c>
      <c r="AP6" s="34" t="e">
        <f>AND(#REF!,"AAAAAD9uvCk=")</f>
        <v>#REF!</v>
      </c>
      <c r="AQ6" s="34" t="e">
        <f>AND(#REF!,"AAAAAD9uvCo=")</f>
        <v>#REF!</v>
      </c>
      <c r="AR6" s="34" t="e">
        <f>AND(#REF!,"AAAAAD9uvCs=")</f>
        <v>#REF!</v>
      </c>
      <c r="AS6" s="34" t="e">
        <f>AND(#REF!,"AAAAAD9uvCw=")</f>
        <v>#REF!</v>
      </c>
      <c r="AT6" s="34" t="e">
        <f>AND(#REF!,"AAAAAD9uvC0=")</f>
        <v>#REF!</v>
      </c>
      <c r="AU6" s="34" t="e">
        <f>AND(#REF!,"AAAAAD9uvC4=")</f>
        <v>#REF!</v>
      </c>
      <c r="AV6" s="34" t="e">
        <f>AND(#REF!,"AAAAAD9uvC8=")</f>
        <v>#REF!</v>
      </c>
      <c r="AW6" s="34" t="e">
        <f>AND(#REF!,"AAAAAD9uvDA=")</f>
        <v>#REF!</v>
      </c>
      <c r="AX6" s="34" t="e">
        <f>AND(#REF!,"AAAAAD9uvDE=")</f>
        <v>#REF!</v>
      </c>
      <c r="AY6" s="34" t="e">
        <f>AND(#REF!,"AAAAAD9uvDI=")</f>
        <v>#REF!</v>
      </c>
      <c r="AZ6" s="34" t="e">
        <f>AND(#REF!,"AAAAAD9uvDM=")</f>
        <v>#REF!</v>
      </c>
      <c r="BA6" s="34" t="e">
        <f>AND(#REF!,"AAAAAD9uvDQ=")</f>
        <v>#REF!</v>
      </c>
      <c r="BB6" s="34" t="e">
        <f>AND(#REF!,"AAAAAD9uvDU=")</f>
        <v>#REF!</v>
      </c>
      <c r="BC6" s="34" t="e">
        <f>AND(#REF!,"AAAAAD9uvDY=")</f>
        <v>#REF!</v>
      </c>
      <c r="BD6" s="34" t="e">
        <f>AND(#REF!,"AAAAAD9uvDc=")</f>
        <v>#REF!</v>
      </c>
      <c r="BE6" s="34" t="e">
        <f>AND(#REF!,"AAAAAD9uvDg=")</f>
        <v>#REF!</v>
      </c>
      <c r="BF6" s="34" t="e">
        <f>AND(#REF!,"AAAAAD9uvDk=")</f>
        <v>#REF!</v>
      </c>
      <c r="BG6" s="34" t="e">
        <f>AND(#REF!,"AAAAAD9uvDo=")</f>
        <v>#REF!</v>
      </c>
      <c r="BH6" s="34" t="e">
        <f>AND(#REF!,"AAAAAD9uvDs=")</f>
        <v>#REF!</v>
      </c>
      <c r="BI6" s="34" t="e">
        <f>AND(#REF!,"AAAAAD9uvDw=")</f>
        <v>#REF!</v>
      </c>
      <c r="BJ6" s="34" t="e">
        <f>AND(#REF!,"AAAAAD9uvD0=")</f>
        <v>#REF!</v>
      </c>
      <c r="BK6" s="34" t="e">
        <f>AND(#REF!,"AAAAAD9uvD4=")</f>
        <v>#REF!</v>
      </c>
      <c r="BL6" s="34" t="e">
        <f>AND(#REF!,"AAAAAD9uvD8=")</f>
        <v>#REF!</v>
      </c>
      <c r="BM6" s="34" t="e">
        <f>AND(#REF!,"AAAAAD9uvEA=")</f>
        <v>#REF!</v>
      </c>
      <c r="BN6" s="34" t="e">
        <f>AND(#REF!,"AAAAAD9uvEE=")</f>
        <v>#REF!</v>
      </c>
      <c r="BO6" s="34" t="e">
        <f>AND(#REF!,"AAAAAD9uvEI=")</f>
        <v>#REF!</v>
      </c>
      <c r="BP6" s="34" t="e">
        <f>AND(#REF!,"AAAAAD9uvEM=")</f>
        <v>#REF!</v>
      </c>
      <c r="BQ6" s="34" t="e">
        <f>AND(#REF!,"AAAAAD9uvEQ=")</f>
        <v>#REF!</v>
      </c>
      <c r="BR6" s="34" t="e">
        <f>AND(#REF!,"AAAAAD9uvEU=")</f>
        <v>#REF!</v>
      </c>
      <c r="BS6" s="34" t="e">
        <f>AND(#REF!,"AAAAAD9uvEY=")</f>
        <v>#REF!</v>
      </c>
      <c r="BT6" s="34" t="e">
        <f>AND(#REF!,"AAAAAD9uvEc=")</f>
        <v>#REF!</v>
      </c>
      <c r="BU6" s="34" t="e">
        <f>AND(#REF!,"AAAAAD9uvEg=")</f>
        <v>#REF!</v>
      </c>
      <c r="BV6" s="34" t="e">
        <f>AND(#REF!,"AAAAAD9uvEk=")</f>
        <v>#REF!</v>
      </c>
      <c r="BW6" s="34" t="e">
        <f>AND(#REF!,"AAAAAD9uvEo=")</f>
        <v>#REF!</v>
      </c>
      <c r="BX6" s="34" t="e">
        <f>AND(#REF!,"AAAAAD9uvEs=")</f>
        <v>#REF!</v>
      </c>
      <c r="BY6" s="34" t="e">
        <f>AND(#REF!,"AAAAAD9uvEw=")</f>
        <v>#REF!</v>
      </c>
      <c r="BZ6" s="34" t="e">
        <f>AND(#REF!,"AAAAAD9uvE0=")</f>
        <v>#REF!</v>
      </c>
      <c r="CA6" s="34" t="e">
        <f>AND(#REF!,"AAAAAD9uvE4=")</f>
        <v>#REF!</v>
      </c>
      <c r="CB6" s="34" t="e">
        <f>AND(#REF!,"AAAAAD9uvE8=")</f>
        <v>#REF!</v>
      </c>
      <c r="CC6" s="34" t="e">
        <f>AND(#REF!,"AAAAAD9uvFA=")</f>
        <v>#REF!</v>
      </c>
      <c r="CD6" s="34" t="e">
        <f>AND(#REF!,"AAAAAD9uvFE=")</f>
        <v>#REF!</v>
      </c>
      <c r="CE6" s="34" t="e">
        <f>AND(#REF!,"AAAAAD9uvFI=")</f>
        <v>#REF!</v>
      </c>
      <c r="CF6" s="34" t="e">
        <f>AND(#REF!,"AAAAAD9uvFM=")</f>
        <v>#REF!</v>
      </c>
      <c r="CG6" s="34" t="e">
        <f>AND(#REF!,"AAAAAD9uvFQ=")</f>
        <v>#REF!</v>
      </c>
      <c r="CH6" s="34" t="e">
        <f>AND(#REF!,"AAAAAD9uvFU=")</f>
        <v>#REF!</v>
      </c>
      <c r="CI6" s="34" t="e">
        <f>IF(#REF!,"AAAAAD9uvFY=",0)</f>
        <v>#REF!</v>
      </c>
      <c r="CJ6" s="34" t="e">
        <f>AND(#REF!,"AAAAAD9uvFc=")</f>
        <v>#REF!</v>
      </c>
      <c r="CK6" s="34" t="e">
        <f>AND(#REF!,"AAAAAD9uvFg=")</f>
        <v>#REF!</v>
      </c>
      <c r="CL6" s="34" t="e">
        <f>AND(#REF!,"AAAAAD9uvFk=")</f>
        <v>#REF!</v>
      </c>
      <c r="CM6" s="34" t="e">
        <f>AND(#REF!,"AAAAAD9uvFo=")</f>
        <v>#REF!</v>
      </c>
      <c r="CN6" s="34" t="e">
        <f>AND(#REF!,"AAAAAD9uvFs=")</f>
        <v>#REF!</v>
      </c>
      <c r="CO6" s="34" t="e">
        <f>AND(#REF!,"AAAAAD9uvFw=")</f>
        <v>#REF!</v>
      </c>
      <c r="CP6" s="34" t="e">
        <f>AND(#REF!,"AAAAAD9uvF0=")</f>
        <v>#REF!</v>
      </c>
      <c r="CQ6" s="34" t="e">
        <f>AND(#REF!,"AAAAAD9uvF4=")</f>
        <v>#REF!</v>
      </c>
      <c r="CR6" s="34" t="e">
        <f>AND(#REF!,"AAAAAD9uvF8=")</f>
        <v>#REF!</v>
      </c>
      <c r="CS6" s="34" t="e">
        <f>AND(#REF!,"AAAAAD9uvGA=")</f>
        <v>#REF!</v>
      </c>
      <c r="CT6" s="34" t="e">
        <f>AND(#REF!,"AAAAAD9uvGE=")</f>
        <v>#REF!</v>
      </c>
      <c r="CU6" s="34" t="e">
        <f>AND(#REF!,"AAAAAD9uvGI=")</f>
        <v>#REF!</v>
      </c>
      <c r="CV6" s="34" t="e">
        <f>AND(#REF!,"AAAAAD9uvGM=")</f>
        <v>#REF!</v>
      </c>
      <c r="CW6" s="34" t="e">
        <f>AND(#REF!,"AAAAAD9uvGQ=")</f>
        <v>#REF!</v>
      </c>
      <c r="CX6" s="34" t="e">
        <f>AND(#REF!,"AAAAAD9uvGU=")</f>
        <v>#REF!</v>
      </c>
      <c r="CY6" s="34" t="e">
        <f>AND(#REF!,"AAAAAD9uvGY=")</f>
        <v>#REF!</v>
      </c>
      <c r="CZ6" s="34" t="e">
        <f>AND(#REF!,"AAAAAD9uvGc=")</f>
        <v>#REF!</v>
      </c>
      <c r="DA6" s="34" t="e">
        <f>AND(#REF!,"AAAAAD9uvGg=")</f>
        <v>#REF!</v>
      </c>
      <c r="DB6" s="34" t="e">
        <f>AND(#REF!,"AAAAAD9uvGk=")</f>
        <v>#REF!</v>
      </c>
      <c r="DC6" s="34" t="e">
        <f>AND(#REF!,"AAAAAD9uvGo=")</f>
        <v>#REF!</v>
      </c>
      <c r="DD6" s="34" t="e">
        <f>AND(#REF!,"AAAAAD9uvGs=")</f>
        <v>#REF!</v>
      </c>
      <c r="DE6" s="34" t="e">
        <f>AND(#REF!,"AAAAAD9uvGw=")</f>
        <v>#REF!</v>
      </c>
      <c r="DF6" s="34" t="e">
        <f>AND(#REF!,"AAAAAD9uvG0=")</f>
        <v>#REF!</v>
      </c>
      <c r="DG6" s="34" t="e">
        <f>AND(#REF!,"AAAAAD9uvG4=")</f>
        <v>#REF!</v>
      </c>
      <c r="DH6" s="34" t="e">
        <f>AND(#REF!,"AAAAAD9uvG8=")</f>
        <v>#REF!</v>
      </c>
      <c r="DI6" s="34" t="e">
        <f>AND(#REF!,"AAAAAD9uvHA=")</f>
        <v>#REF!</v>
      </c>
      <c r="DJ6" s="34" t="e">
        <f>AND(#REF!,"AAAAAD9uvHE=")</f>
        <v>#REF!</v>
      </c>
      <c r="DK6" s="34" t="e">
        <f>AND(#REF!,"AAAAAD9uvHI=")</f>
        <v>#REF!</v>
      </c>
      <c r="DL6" s="34" t="e">
        <f>AND(#REF!,"AAAAAD9uvHM=")</f>
        <v>#REF!</v>
      </c>
      <c r="DM6" s="34" t="e">
        <f>AND(#REF!,"AAAAAD9uvHQ=")</f>
        <v>#REF!</v>
      </c>
      <c r="DN6" s="34" t="e">
        <f>AND(#REF!,"AAAAAD9uvHU=")</f>
        <v>#REF!</v>
      </c>
      <c r="DO6" s="34" t="e">
        <f>AND(#REF!,"AAAAAD9uvHY=")</f>
        <v>#REF!</v>
      </c>
      <c r="DP6" s="34" t="e">
        <f>AND(#REF!,"AAAAAD9uvHc=")</f>
        <v>#REF!</v>
      </c>
      <c r="DQ6" s="34" t="e">
        <f>AND(#REF!,"AAAAAD9uvHg=")</f>
        <v>#REF!</v>
      </c>
      <c r="DR6" s="34" t="e">
        <f>AND(#REF!,"AAAAAD9uvHk=")</f>
        <v>#REF!</v>
      </c>
      <c r="DS6" s="34" t="e">
        <f>AND(#REF!,"AAAAAD9uvHo=")</f>
        <v>#REF!</v>
      </c>
      <c r="DT6" s="34" t="e">
        <f>AND(#REF!,"AAAAAD9uvHs=")</f>
        <v>#REF!</v>
      </c>
      <c r="DU6" s="34" t="e">
        <f>AND(#REF!,"AAAAAD9uvHw=")</f>
        <v>#REF!</v>
      </c>
      <c r="DV6" s="34" t="e">
        <f>AND(#REF!,"AAAAAD9uvH0=")</f>
        <v>#REF!</v>
      </c>
      <c r="DW6" s="34" t="e">
        <f>AND(#REF!,"AAAAAD9uvH4=")</f>
        <v>#REF!</v>
      </c>
      <c r="DX6" s="34" t="e">
        <f>AND(#REF!,"AAAAAD9uvH8=")</f>
        <v>#REF!</v>
      </c>
      <c r="DY6" s="34" t="e">
        <f>AND(#REF!,"AAAAAD9uvIA=")</f>
        <v>#REF!</v>
      </c>
      <c r="DZ6" s="34" t="e">
        <f>AND(#REF!,"AAAAAD9uvIE=")</f>
        <v>#REF!</v>
      </c>
      <c r="EA6" s="34" t="e">
        <f>AND(#REF!,"AAAAAD9uvII=")</f>
        <v>#REF!</v>
      </c>
      <c r="EB6" s="34" t="e">
        <f>AND(#REF!,"AAAAAD9uvIM=")</f>
        <v>#REF!</v>
      </c>
      <c r="EC6" s="34" t="e">
        <f>IF(#REF!,"AAAAAD9uvIQ=",0)</f>
        <v>#REF!</v>
      </c>
      <c r="ED6" s="34" t="e">
        <f>AND(#REF!,"AAAAAD9uvIU=")</f>
        <v>#REF!</v>
      </c>
      <c r="EE6" s="34" t="e">
        <f>AND(#REF!,"AAAAAD9uvIY=")</f>
        <v>#REF!</v>
      </c>
      <c r="EF6" s="34" t="e">
        <f>AND(#REF!,"AAAAAD9uvIc=")</f>
        <v>#REF!</v>
      </c>
      <c r="EG6" s="34" t="e">
        <f>AND(#REF!,"AAAAAD9uvIg=")</f>
        <v>#REF!</v>
      </c>
      <c r="EH6" s="34" t="e">
        <f>AND(#REF!,"AAAAAD9uvIk=")</f>
        <v>#REF!</v>
      </c>
      <c r="EI6" s="34" t="e">
        <f>AND(#REF!,"AAAAAD9uvIo=")</f>
        <v>#REF!</v>
      </c>
      <c r="EJ6" s="34" t="e">
        <f>AND(#REF!,"AAAAAD9uvIs=")</f>
        <v>#REF!</v>
      </c>
      <c r="EK6" s="34" t="e">
        <f>AND(#REF!,"AAAAAD9uvIw=")</f>
        <v>#REF!</v>
      </c>
      <c r="EL6" s="34" t="e">
        <f>AND(#REF!,"AAAAAD9uvI0=")</f>
        <v>#REF!</v>
      </c>
      <c r="EM6" s="34" t="e">
        <f>AND(#REF!,"AAAAAD9uvI4=")</f>
        <v>#REF!</v>
      </c>
      <c r="EN6" s="34" t="e">
        <f>AND(#REF!,"AAAAAD9uvI8=")</f>
        <v>#REF!</v>
      </c>
      <c r="EO6" s="34" t="e">
        <f>AND(#REF!,"AAAAAD9uvJA=")</f>
        <v>#REF!</v>
      </c>
      <c r="EP6" s="34" t="e">
        <f>AND(#REF!,"AAAAAD9uvJE=")</f>
        <v>#REF!</v>
      </c>
      <c r="EQ6" s="34" t="e">
        <f>AND(#REF!,"AAAAAD9uvJI=")</f>
        <v>#REF!</v>
      </c>
      <c r="ER6" s="34" t="e">
        <f>AND(#REF!,"AAAAAD9uvJM=")</f>
        <v>#REF!</v>
      </c>
      <c r="ES6" s="34" t="e">
        <f>AND(#REF!,"AAAAAD9uvJQ=")</f>
        <v>#REF!</v>
      </c>
      <c r="ET6" s="34" t="e">
        <f>AND(#REF!,"AAAAAD9uvJU=")</f>
        <v>#REF!</v>
      </c>
      <c r="EU6" s="34" t="e">
        <f>AND(#REF!,"AAAAAD9uvJY=")</f>
        <v>#REF!</v>
      </c>
      <c r="EV6" s="34" t="e">
        <f>AND(#REF!,"AAAAAD9uvJc=")</f>
        <v>#REF!</v>
      </c>
      <c r="EW6" s="34" t="e">
        <f>AND(#REF!,"AAAAAD9uvJg=")</f>
        <v>#REF!</v>
      </c>
      <c r="EX6" s="34" t="e">
        <f>AND(#REF!,"AAAAAD9uvJk=")</f>
        <v>#REF!</v>
      </c>
      <c r="EY6" s="34" t="e">
        <f>AND(#REF!,"AAAAAD9uvJo=")</f>
        <v>#REF!</v>
      </c>
      <c r="EZ6" s="34" t="e">
        <f>AND(#REF!,"AAAAAD9uvJs=")</f>
        <v>#REF!</v>
      </c>
      <c r="FA6" s="34" t="e">
        <f>AND(#REF!,"AAAAAD9uvJw=")</f>
        <v>#REF!</v>
      </c>
      <c r="FB6" s="34" t="e">
        <f>AND(#REF!,"AAAAAD9uvJ0=")</f>
        <v>#REF!</v>
      </c>
      <c r="FC6" s="34" t="e">
        <f>AND(#REF!,"AAAAAD9uvJ4=")</f>
        <v>#REF!</v>
      </c>
      <c r="FD6" s="34" t="e">
        <f>AND(#REF!,"AAAAAD9uvJ8=")</f>
        <v>#REF!</v>
      </c>
      <c r="FE6" s="34" t="e">
        <f>AND(#REF!,"AAAAAD9uvKA=")</f>
        <v>#REF!</v>
      </c>
      <c r="FF6" s="34" t="e">
        <f>AND(#REF!,"AAAAAD9uvKE=")</f>
        <v>#REF!</v>
      </c>
      <c r="FG6" s="34" t="e">
        <f>AND(#REF!,"AAAAAD9uvKI=")</f>
        <v>#REF!</v>
      </c>
      <c r="FH6" s="34" t="e">
        <f>AND(#REF!,"AAAAAD9uvKM=")</f>
        <v>#REF!</v>
      </c>
      <c r="FI6" s="34" t="e">
        <f>AND(#REF!,"AAAAAD9uvKQ=")</f>
        <v>#REF!</v>
      </c>
      <c r="FJ6" s="34" t="e">
        <f>AND(#REF!,"AAAAAD9uvKU=")</f>
        <v>#REF!</v>
      </c>
      <c r="FK6" s="34" t="e">
        <f>AND(#REF!,"AAAAAD9uvKY=")</f>
        <v>#REF!</v>
      </c>
      <c r="FL6" s="34" t="e">
        <f>AND(#REF!,"AAAAAD9uvKc=")</f>
        <v>#REF!</v>
      </c>
      <c r="FM6" s="34" t="e">
        <f>AND(#REF!,"AAAAAD9uvKg=")</f>
        <v>#REF!</v>
      </c>
      <c r="FN6" s="34" t="e">
        <f>AND(#REF!,"AAAAAD9uvKk=")</f>
        <v>#REF!</v>
      </c>
      <c r="FO6" s="34" t="e">
        <f>AND(#REF!,"AAAAAD9uvKo=")</f>
        <v>#REF!</v>
      </c>
      <c r="FP6" s="34" t="e">
        <f>AND(#REF!,"AAAAAD9uvKs=")</f>
        <v>#REF!</v>
      </c>
      <c r="FQ6" s="34" t="e">
        <f>AND(#REF!,"AAAAAD9uvKw=")</f>
        <v>#REF!</v>
      </c>
      <c r="FR6" s="34" t="e">
        <f>AND(#REF!,"AAAAAD9uvK0=")</f>
        <v>#REF!</v>
      </c>
      <c r="FS6" s="34" t="e">
        <f>AND(#REF!,"AAAAAD9uvK4=")</f>
        <v>#REF!</v>
      </c>
      <c r="FT6" s="34" t="e">
        <f>AND(#REF!,"AAAAAD9uvK8=")</f>
        <v>#REF!</v>
      </c>
      <c r="FU6" s="34" t="e">
        <f>AND(#REF!,"AAAAAD9uvLA=")</f>
        <v>#REF!</v>
      </c>
      <c r="FV6" s="34" t="e">
        <f>AND(#REF!,"AAAAAD9uvLE=")</f>
        <v>#REF!</v>
      </c>
      <c r="FW6" s="34" t="e">
        <f>IF(#REF!,"AAAAAD9uvLI=",0)</f>
        <v>#REF!</v>
      </c>
      <c r="FX6" s="34" t="e">
        <f>AND(#REF!,"AAAAAD9uvLM=")</f>
        <v>#REF!</v>
      </c>
      <c r="FY6" s="34" t="e">
        <f>AND(#REF!,"AAAAAD9uvLQ=")</f>
        <v>#REF!</v>
      </c>
      <c r="FZ6" s="34" t="e">
        <f>AND(#REF!,"AAAAAD9uvLU=")</f>
        <v>#REF!</v>
      </c>
      <c r="GA6" s="34" t="e">
        <f>AND(#REF!,"AAAAAD9uvLY=")</f>
        <v>#REF!</v>
      </c>
      <c r="GB6" s="34" t="e">
        <f>AND(#REF!,"AAAAAD9uvLc=")</f>
        <v>#REF!</v>
      </c>
      <c r="GC6" s="34" t="e">
        <f>AND(#REF!,"AAAAAD9uvLg=")</f>
        <v>#REF!</v>
      </c>
      <c r="GD6" s="34" t="e">
        <f>AND(#REF!,"AAAAAD9uvLk=")</f>
        <v>#REF!</v>
      </c>
      <c r="GE6" s="34" t="e">
        <f>AND(#REF!,"AAAAAD9uvLo=")</f>
        <v>#REF!</v>
      </c>
      <c r="GF6" s="34" t="e">
        <f>AND(#REF!,"AAAAAD9uvLs=")</f>
        <v>#REF!</v>
      </c>
      <c r="GG6" s="34" t="e">
        <f>AND(#REF!,"AAAAAD9uvLw=")</f>
        <v>#REF!</v>
      </c>
      <c r="GH6" s="34" t="e">
        <f>AND(#REF!,"AAAAAD9uvL0=")</f>
        <v>#REF!</v>
      </c>
      <c r="GI6" s="34" t="e">
        <f>AND(#REF!,"AAAAAD9uvL4=")</f>
        <v>#REF!</v>
      </c>
      <c r="GJ6" s="34" t="e">
        <f>AND(#REF!,"AAAAAD9uvL8=")</f>
        <v>#REF!</v>
      </c>
      <c r="GK6" s="34" t="e">
        <f>AND(#REF!,"AAAAAD9uvMA=")</f>
        <v>#REF!</v>
      </c>
      <c r="GL6" s="34" t="e">
        <f>AND(#REF!,"AAAAAD9uvME=")</f>
        <v>#REF!</v>
      </c>
      <c r="GM6" s="34" t="e">
        <f>AND(#REF!,"AAAAAD9uvMI=")</f>
        <v>#REF!</v>
      </c>
      <c r="GN6" s="34" t="e">
        <f>AND(#REF!,"AAAAAD9uvMM=")</f>
        <v>#REF!</v>
      </c>
      <c r="GO6" s="34" t="e">
        <f>AND(#REF!,"AAAAAD9uvMQ=")</f>
        <v>#REF!</v>
      </c>
      <c r="GP6" s="34" t="e">
        <f>AND(#REF!,"AAAAAD9uvMU=")</f>
        <v>#REF!</v>
      </c>
      <c r="GQ6" s="34" t="e">
        <f>AND(#REF!,"AAAAAD9uvMY=")</f>
        <v>#REF!</v>
      </c>
      <c r="GR6" s="34" t="e">
        <f>AND(#REF!,"AAAAAD9uvMc=")</f>
        <v>#REF!</v>
      </c>
      <c r="GS6" s="34" t="e">
        <f>AND(#REF!,"AAAAAD9uvMg=")</f>
        <v>#REF!</v>
      </c>
      <c r="GT6" s="34" t="e">
        <f>AND(#REF!,"AAAAAD9uvMk=")</f>
        <v>#REF!</v>
      </c>
      <c r="GU6" s="34" t="e">
        <f>AND(#REF!,"AAAAAD9uvMo=")</f>
        <v>#REF!</v>
      </c>
      <c r="GV6" s="34" t="e">
        <f>AND(#REF!,"AAAAAD9uvMs=")</f>
        <v>#REF!</v>
      </c>
      <c r="GW6" s="34" t="e">
        <f>AND(#REF!,"AAAAAD9uvMw=")</f>
        <v>#REF!</v>
      </c>
      <c r="GX6" s="34" t="e">
        <f>AND(#REF!,"AAAAAD9uvM0=")</f>
        <v>#REF!</v>
      </c>
      <c r="GY6" s="34" t="e">
        <f>AND(#REF!,"AAAAAD9uvM4=")</f>
        <v>#REF!</v>
      </c>
      <c r="GZ6" s="34" t="e">
        <f>AND(#REF!,"AAAAAD9uvM8=")</f>
        <v>#REF!</v>
      </c>
      <c r="HA6" s="34" t="e">
        <f>AND(#REF!,"AAAAAD9uvNA=")</f>
        <v>#REF!</v>
      </c>
      <c r="HB6" s="34" t="e">
        <f>AND(#REF!,"AAAAAD9uvNE=")</f>
        <v>#REF!</v>
      </c>
      <c r="HC6" s="34" t="e">
        <f>AND(#REF!,"AAAAAD9uvNI=")</f>
        <v>#REF!</v>
      </c>
      <c r="HD6" s="34" t="e">
        <f>AND(#REF!,"AAAAAD9uvNM=")</f>
        <v>#REF!</v>
      </c>
      <c r="HE6" s="34" t="e">
        <f>AND(#REF!,"AAAAAD9uvNQ=")</f>
        <v>#REF!</v>
      </c>
      <c r="HF6" s="34" t="e">
        <f>AND(#REF!,"AAAAAD9uvNU=")</f>
        <v>#REF!</v>
      </c>
      <c r="HG6" s="34" t="e">
        <f>AND(#REF!,"AAAAAD9uvNY=")</f>
        <v>#REF!</v>
      </c>
      <c r="HH6" s="34" t="e">
        <f>AND(#REF!,"AAAAAD9uvNc=")</f>
        <v>#REF!</v>
      </c>
      <c r="HI6" s="34" t="e">
        <f>AND(#REF!,"AAAAAD9uvNg=")</f>
        <v>#REF!</v>
      </c>
      <c r="HJ6" s="34" t="e">
        <f>AND(#REF!,"AAAAAD9uvNk=")</f>
        <v>#REF!</v>
      </c>
      <c r="HK6" s="34" t="e">
        <f>AND(#REF!,"AAAAAD9uvNo=")</f>
        <v>#REF!</v>
      </c>
      <c r="HL6" s="34" t="e">
        <f>AND(#REF!,"AAAAAD9uvNs=")</f>
        <v>#REF!</v>
      </c>
      <c r="HM6" s="34" t="e">
        <f>AND(#REF!,"AAAAAD9uvNw=")</f>
        <v>#REF!</v>
      </c>
      <c r="HN6" s="34" t="e">
        <f>AND(#REF!,"AAAAAD9uvN0=")</f>
        <v>#REF!</v>
      </c>
      <c r="HO6" s="34" t="e">
        <f>AND(#REF!,"AAAAAD9uvN4=")</f>
        <v>#REF!</v>
      </c>
      <c r="HP6" s="34" t="e">
        <f>AND(#REF!,"AAAAAD9uvN8=")</f>
        <v>#REF!</v>
      </c>
      <c r="HQ6" s="34" t="e">
        <f>IF(#REF!,"AAAAAD9uvOA=",0)</f>
        <v>#REF!</v>
      </c>
      <c r="HR6" s="34" t="e">
        <f>AND(#REF!,"AAAAAD9uvOE=")</f>
        <v>#REF!</v>
      </c>
      <c r="HS6" s="34" t="e">
        <f>AND(#REF!,"AAAAAD9uvOI=")</f>
        <v>#REF!</v>
      </c>
      <c r="HT6" s="34" t="e">
        <f>AND(#REF!,"AAAAAD9uvOM=")</f>
        <v>#REF!</v>
      </c>
      <c r="HU6" s="34" t="e">
        <f>AND(#REF!,"AAAAAD9uvOQ=")</f>
        <v>#REF!</v>
      </c>
      <c r="HV6" s="34" t="e">
        <f>AND(#REF!,"AAAAAD9uvOU=")</f>
        <v>#REF!</v>
      </c>
      <c r="HW6" s="34" t="e">
        <f>AND(#REF!,"AAAAAD9uvOY=")</f>
        <v>#REF!</v>
      </c>
      <c r="HX6" s="34" t="e">
        <f>AND(#REF!,"AAAAAD9uvOc=")</f>
        <v>#REF!</v>
      </c>
      <c r="HY6" s="34" t="e">
        <f>AND(#REF!,"AAAAAD9uvOg=")</f>
        <v>#REF!</v>
      </c>
      <c r="HZ6" s="34" t="e">
        <f>AND(#REF!,"AAAAAD9uvOk=")</f>
        <v>#REF!</v>
      </c>
      <c r="IA6" s="34" t="e">
        <f>AND(#REF!,"AAAAAD9uvOo=")</f>
        <v>#REF!</v>
      </c>
      <c r="IB6" s="34" t="e">
        <f>AND(#REF!,"AAAAAD9uvOs=")</f>
        <v>#REF!</v>
      </c>
      <c r="IC6" s="34" t="e">
        <f>AND(#REF!,"AAAAAD9uvOw=")</f>
        <v>#REF!</v>
      </c>
      <c r="ID6" s="34" t="e">
        <f>AND(#REF!,"AAAAAD9uvO0=")</f>
        <v>#REF!</v>
      </c>
      <c r="IE6" s="34" t="e">
        <f>AND(#REF!,"AAAAAD9uvO4=")</f>
        <v>#REF!</v>
      </c>
      <c r="IF6" s="34" t="e">
        <f>AND(#REF!,"AAAAAD9uvO8=")</f>
        <v>#REF!</v>
      </c>
      <c r="IG6" s="34" t="e">
        <f>AND(#REF!,"AAAAAD9uvPA=")</f>
        <v>#REF!</v>
      </c>
      <c r="IH6" s="34" t="e">
        <f>AND(#REF!,"AAAAAD9uvPE=")</f>
        <v>#REF!</v>
      </c>
      <c r="II6" s="34" t="e">
        <f>AND(#REF!,"AAAAAD9uvPI=")</f>
        <v>#REF!</v>
      </c>
      <c r="IJ6" s="34" t="e">
        <f>AND(#REF!,"AAAAAD9uvPM=")</f>
        <v>#REF!</v>
      </c>
      <c r="IK6" s="34" t="e">
        <f>AND(#REF!,"AAAAAD9uvPQ=")</f>
        <v>#REF!</v>
      </c>
      <c r="IL6" s="34" t="e">
        <f>AND(#REF!,"AAAAAD9uvPU=")</f>
        <v>#REF!</v>
      </c>
      <c r="IM6" s="34" t="e">
        <f>AND(#REF!,"AAAAAD9uvPY=")</f>
        <v>#REF!</v>
      </c>
      <c r="IN6" s="34" t="e">
        <f>AND(#REF!,"AAAAAD9uvPc=")</f>
        <v>#REF!</v>
      </c>
      <c r="IO6" s="34" t="e">
        <f>AND(#REF!,"AAAAAD9uvPg=")</f>
        <v>#REF!</v>
      </c>
      <c r="IP6" s="34" t="e">
        <f>AND(#REF!,"AAAAAD9uvPk=")</f>
        <v>#REF!</v>
      </c>
      <c r="IQ6" s="34" t="e">
        <f>AND(#REF!,"AAAAAD9uvPo=")</f>
        <v>#REF!</v>
      </c>
      <c r="IR6" s="34" t="e">
        <f>AND(#REF!,"AAAAAD9uvPs=")</f>
        <v>#REF!</v>
      </c>
      <c r="IS6" s="34" t="e">
        <f>AND(#REF!,"AAAAAD9uvPw=")</f>
        <v>#REF!</v>
      </c>
      <c r="IT6" s="34" t="e">
        <f>AND(#REF!,"AAAAAD9uvP0=")</f>
        <v>#REF!</v>
      </c>
      <c r="IU6" s="34" t="e">
        <f>AND(#REF!,"AAAAAD9uvP4=")</f>
        <v>#REF!</v>
      </c>
      <c r="IV6" s="34" t="e">
        <f>AND(#REF!,"AAAAAD9uvP8=")</f>
        <v>#REF!</v>
      </c>
    </row>
    <row r="7" spans="1:256" ht="12.75" customHeight="1" x14ac:dyDescent="0.2">
      <c r="A7" s="34" t="e">
        <f>AND(#REF!,"AAAAAFX/vwA=")</f>
        <v>#REF!</v>
      </c>
      <c r="B7" s="34" t="e">
        <f>AND(#REF!,"AAAAAFX/vwE=")</f>
        <v>#REF!</v>
      </c>
      <c r="C7" s="34" t="e">
        <f>AND(#REF!,"AAAAAFX/vwI=")</f>
        <v>#REF!</v>
      </c>
      <c r="D7" s="34" t="e">
        <f>AND(#REF!,"AAAAAFX/vwM=")</f>
        <v>#REF!</v>
      </c>
      <c r="E7" s="34" t="e">
        <f>AND(#REF!,"AAAAAFX/vwQ=")</f>
        <v>#REF!</v>
      </c>
      <c r="F7" s="34" t="e">
        <f>AND(#REF!,"AAAAAFX/vwU=")</f>
        <v>#REF!</v>
      </c>
      <c r="G7" s="34" t="e">
        <f>AND(#REF!,"AAAAAFX/vwY=")</f>
        <v>#REF!</v>
      </c>
      <c r="H7" s="34" t="e">
        <f>AND(#REF!,"AAAAAFX/vwc=")</f>
        <v>#REF!</v>
      </c>
      <c r="I7" s="34" t="e">
        <f>AND(#REF!,"AAAAAFX/vwg=")</f>
        <v>#REF!</v>
      </c>
      <c r="J7" s="34" t="e">
        <f>AND(#REF!,"AAAAAFX/vwk=")</f>
        <v>#REF!</v>
      </c>
      <c r="K7" s="34" t="e">
        <f>AND(#REF!,"AAAAAFX/vwo=")</f>
        <v>#REF!</v>
      </c>
      <c r="L7" s="34" t="e">
        <f>AND(#REF!,"AAAAAFX/vws=")</f>
        <v>#REF!</v>
      </c>
      <c r="M7" s="34" t="e">
        <f>AND(#REF!,"AAAAAFX/vww=")</f>
        <v>#REF!</v>
      </c>
      <c r="N7" s="34" t="e">
        <f>AND(#REF!,"AAAAAFX/vw0=")</f>
        <v>#REF!</v>
      </c>
      <c r="O7" s="34" t="e">
        <f>IF(#REF!,"AAAAAFX/vw4=",0)</f>
        <v>#REF!</v>
      </c>
      <c r="P7" s="34" t="e">
        <f>AND(#REF!,"AAAAAFX/vw8=")</f>
        <v>#REF!</v>
      </c>
      <c r="Q7" s="34" t="e">
        <f>AND(#REF!,"AAAAAFX/vxA=")</f>
        <v>#REF!</v>
      </c>
      <c r="R7" s="34" t="e">
        <f>AND(#REF!,"AAAAAFX/vxE=")</f>
        <v>#REF!</v>
      </c>
      <c r="S7" s="34" t="e">
        <f>AND(#REF!,"AAAAAFX/vxI=")</f>
        <v>#REF!</v>
      </c>
      <c r="T7" s="34" t="e">
        <f>AND(#REF!,"AAAAAFX/vxM=")</f>
        <v>#REF!</v>
      </c>
      <c r="U7" s="34" t="e">
        <f>AND(#REF!,"AAAAAFX/vxQ=")</f>
        <v>#REF!</v>
      </c>
      <c r="V7" s="34" t="e">
        <f>AND(#REF!,"AAAAAFX/vxU=")</f>
        <v>#REF!</v>
      </c>
      <c r="W7" s="34" t="e">
        <f>AND(#REF!,"AAAAAFX/vxY=")</f>
        <v>#REF!</v>
      </c>
      <c r="X7" s="34" t="e">
        <f>AND(#REF!,"AAAAAFX/vxc=")</f>
        <v>#REF!</v>
      </c>
      <c r="Y7" s="34" t="e">
        <f>AND(#REF!,"AAAAAFX/vxg=")</f>
        <v>#REF!</v>
      </c>
      <c r="Z7" s="34" t="e">
        <f>AND(#REF!,"AAAAAFX/vxk=")</f>
        <v>#REF!</v>
      </c>
      <c r="AA7" s="34" t="e">
        <f>AND(#REF!,"AAAAAFX/vxo=")</f>
        <v>#REF!</v>
      </c>
      <c r="AB7" s="34" t="e">
        <f>AND(#REF!,"AAAAAFX/vxs=")</f>
        <v>#REF!</v>
      </c>
      <c r="AC7" s="34" t="e">
        <f>AND(#REF!,"AAAAAFX/vxw=")</f>
        <v>#REF!</v>
      </c>
      <c r="AD7" s="34" t="e">
        <f>AND(#REF!,"AAAAAFX/vx0=")</f>
        <v>#REF!</v>
      </c>
      <c r="AE7" s="34" t="e">
        <f>AND(#REF!,"AAAAAFX/vx4=")</f>
        <v>#REF!</v>
      </c>
      <c r="AF7" s="34" t="e">
        <f>AND(#REF!,"AAAAAFX/vx8=")</f>
        <v>#REF!</v>
      </c>
      <c r="AG7" s="34" t="e">
        <f>AND(#REF!,"AAAAAFX/vyA=")</f>
        <v>#REF!</v>
      </c>
      <c r="AH7" s="34" t="e">
        <f>AND(#REF!,"AAAAAFX/vyE=")</f>
        <v>#REF!</v>
      </c>
      <c r="AI7" s="34" t="e">
        <f>AND(#REF!,"AAAAAFX/vyI=")</f>
        <v>#REF!</v>
      </c>
      <c r="AJ7" s="34" t="e">
        <f>AND(#REF!,"AAAAAFX/vyM=")</f>
        <v>#REF!</v>
      </c>
      <c r="AK7" s="34" t="e">
        <f>AND(#REF!,"AAAAAFX/vyQ=")</f>
        <v>#REF!</v>
      </c>
      <c r="AL7" s="34" t="e">
        <f>AND(#REF!,"AAAAAFX/vyU=")</f>
        <v>#REF!</v>
      </c>
      <c r="AM7" s="34" t="e">
        <f>AND(#REF!,"AAAAAFX/vyY=")</f>
        <v>#REF!</v>
      </c>
      <c r="AN7" s="34" t="e">
        <f>AND(#REF!,"AAAAAFX/vyc=")</f>
        <v>#REF!</v>
      </c>
      <c r="AO7" s="34" t="e">
        <f>AND(#REF!,"AAAAAFX/vyg=")</f>
        <v>#REF!</v>
      </c>
      <c r="AP7" s="34" t="e">
        <f>AND(#REF!,"AAAAAFX/vyk=")</f>
        <v>#REF!</v>
      </c>
      <c r="AQ7" s="34" t="e">
        <f>AND(#REF!,"AAAAAFX/vyo=")</f>
        <v>#REF!</v>
      </c>
      <c r="AR7" s="34" t="e">
        <f>AND(#REF!,"AAAAAFX/vys=")</f>
        <v>#REF!</v>
      </c>
      <c r="AS7" s="34" t="e">
        <f>AND(#REF!,"AAAAAFX/vyw=")</f>
        <v>#REF!</v>
      </c>
      <c r="AT7" s="34" t="e">
        <f>AND(#REF!,"AAAAAFX/vy0=")</f>
        <v>#REF!</v>
      </c>
      <c r="AU7" s="34" t="e">
        <f>AND(#REF!,"AAAAAFX/vy4=")</f>
        <v>#REF!</v>
      </c>
      <c r="AV7" s="34" t="e">
        <f>AND(#REF!,"AAAAAFX/vy8=")</f>
        <v>#REF!</v>
      </c>
      <c r="AW7" s="34" t="e">
        <f>AND(#REF!,"AAAAAFX/vzA=")</f>
        <v>#REF!</v>
      </c>
      <c r="AX7" s="34" t="e">
        <f>AND(#REF!,"AAAAAFX/vzE=")</f>
        <v>#REF!</v>
      </c>
      <c r="AY7" s="34" t="e">
        <f>AND(#REF!,"AAAAAFX/vzI=")</f>
        <v>#REF!</v>
      </c>
      <c r="AZ7" s="34" t="e">
        <f>AND(#REF!,"AAAAAFX/vzM=")</f>
        <v>#REF!</v>
      </c>
      <c r="BA7" s="34" t="e">
        <f>AND(#REF!,"AAAAAFX/vzQ=")</f>
        <v>#REF!</v>
      </c>
      <c r="BB7" s="34" t="e">
        <f>AND(#REF!,"AAAAAFX/vzU=")</f>
        <v>#REF!</v>
      </c>
      <c r="BC7" s="34" t="e">
        <f>AND(#REF!,"AAAAAFX/vzY=")</f>
        <v>#REF!</v>
      </c>
      <c r="BD7" s="34" t="e">
        <f>AND(#REF!,"AAAAAFX/vzc=")</f>
        <v>#REF!</v>
      </c>
      <c r="BE7" s="34" t="e">
        <f>AND(#REF!,"AAAAAFX/vzg=")</f>
        <v>#REF!</v>
      </c>
      <c r="BF7" s="34" t="e">
        <f>AND(#REF!,"AAAAAFX/vzk=")</f>
        <v>#REF!</v>
      </c>
      <c r="BG7" s="34" t="e">
        <f>AND(#REF!,"AAAAAFX/vzo=")</f>
        <v>#REF!</v>
      </c>
      <c r="BH7" s="34" t="e">
        <f>AND(#REF!,"AAAAAFX/vzs=")</f>
        <v>#REF!</v>
      </c>
      <c r="BI7" s="34" t="e">
        <f>IF(#REF!,"AAAAAFX/vzw=",0)</f>
        <v>#REF!</v>
      </c>
      <c r="BJ7" s="34" t="e">
        <f>AND(#REF!,"AAAAAFX/vz0=")</f>
        <v>#REF!</v>
      </c>
      <c r="BK7" s="34" t="e">
        <f>AND(#REF!,"AAAAAFX/vz4=")</f>
        <v>#REF!</v>
      </c>
      <c r="BL7" s="34" t="e">
        <f>AND(#REF!,"AAAAAFX/vz8=")</f>
        <v>#REF!</v>
      </c>
      <c r="BM7" s="34" t="e">
        <f>AND(#REF!,"AAAAAFX/v0A=")</f>
        <v>#REF!</v>
      </c>
      <c r="BN7" s="34" t="e">
        <f>AND(#REF!,"AAAAAFX/v0E=")</f>
        <v>#REF!</v>
      </c>
      <c r="BO7" s="34" t="e">
        <f>AND(#REF!,"AAAAAFX/v0I=")</f>
        <v>#REF!</v>
      </c>
      <c r="BP7" s="34" t="e">
        <f>AND(#REF!,"AAAAAFX/v0M=")</f>
        <v>#REF!</v>
      </c>
      <c r="BQ7" s="34" t="e">
        <f>AND(#REF!,"AAAAAFX/v0Q=")</f>
        <v>#REF!</v>
      </c>
      <c r="BR7" s="34" t="e">
        <f>AND(#REF!,"AAAAAFX/v0U=")</f>
        <v>#REF!</v>
      </c>
      <c r="BS7" s="34" t="e">
        <f>AND(#REF!,"AAAAAFX/v0Y=")</f>
        <v>#REF!</v>
      </c>
      <c r="BT7" s="34" t="e">
        <f>AND(#REF!,"AAAAAFX/v0c=")</f>
        <v>#REF!</v>
      </c>
      <c r="BU7" s="34" t="e">
        <f>AND(#REF!,"AAAAAFX/v0g=")</f>
        <v>#REF!</v>
      </c>
      <c r="BV7" s="34" t="e">
        <f>AND(#REF!,"AAAAAFX/v0k=")</f>
        <v>#REF!</v>
      </c>
      <c r="BW7" s="34" t="e">
        <f>AND(#REF!,"AAAAAFX/v0o=")</f>
        <v>#REF!</v>
      </c>
      <c r="BX7" s="34" t="e">
        <f>AND(#REF!,"AAAAAFX/v0s=")</f>
        <v>#REF!</v>
      </c>
      <c r="BY7" s="34" t="e">
        <f>AND(#REF!,"AAAAAFX/v0w=")</f>
        <v>#REF!</v>
      </c>
      <c r="BZ7" s="34" t="e">
        <f>AND(#REF!,"AAAAAFX/v00=")</f>
        <v>#REF!</v>
      </c>
      <c r="CA7" s="34" t="e">
        <f>AND(#REF!,"AAAAAFX/v04=")</f>
        <v>#REF!</v>
      </c>
      <c r="CB7" s="34" t="e">
        <f>AND(#REF!,"AAAAAFX/v08=")</f>
        <v>#REF!</v>
      </c>
      <c r="CC7" s="34" t="e">
        <f>AND(#REF!,"AAAAAFX/v1A=")</f>
        <v>#REF!</v>
      </c>
      <c r="CD7" s="34" t="e">
        <f>AND(#REF!,"AAAAAFX/v1E=")</f>
        <v>#REF!</v>
      </c>
      <c r="CE7" s="34" t="e">
        <f>AND(#REF!,"AAAAAFX/v1I=")</f>
        <v>#REF!</v>
      </c>
      <c r="CF7" s="34" t="e">
        <f>AND(#REF!,"AAAAAFX/v1M=")</f>
        <v>#REF!</v>
      </c>
      <c r="CG7" s="34" t="e">
        <f>AND(#REF!,"AAAAAFX/v1Q=")</f>
        <v>#REF!</v>
      </c>
      <c r="CH7" s="34" t="e">
        <f>AND(#REF!,"AAAAAFX/v1U=")</f>
        <v>#REF!</v>
      </c>
      <c r="CI7" s="34" t="e">
        <f>AND(#REF!,"AAAAAFX/v1Y=")</f>
        <v>#REF!</v>
      </c>
      <c r="CJ7" s="34" t="e">
        <f>AND(#REF!,"AAAAAFX/v1c=")</f>
        <v>#REF!</v>
      </c>
      <c r="CK7" s="34" t="e">
        <f>AND(#REF!,"AAAAAFX/v1g=")</f>
        <v>#REF!</v>
      </c>
      <c r="CL7" s="34" t="e">
        <f>AND(#REF!,"AAAAAFX/v1k=")</f>
        <v>#REF!</v>
      </c>
      <c r="CM7" s="34" t="e">
        <f>AND(#REF!,"AAAAAFX/v1o=")</f>
        <v>#REF!</v>
      </c>
      <c r="CN7" s="34" t="e">
        <f>AND(#REF!,"AAAAAFX/v1s=")</f>
        <v>#REF!</v>
      </c>
      <c r="CO7" s="34" t="e">
        <f>AND(#REF!,"AAAAAFX/v1w=")</f>
        <v>#REF!</v>
      </c>
      <c r="CP7" s="34" t="e">
        <f>AND(#REF!,"AAAAAFX/v10=")</f>
        <v>#REF!</v>
      </c>
      <c r="CQ7" s="34" t="e">
        <f>AND(#REF!,"AAAAAFX/v14=")</f>
        <v>#REF!</v>
      </c>
      <c r="CR7" s="34" t="e">
        <f>AND(#REF!,"AAAAAFX/v18=")</f>
        <v>#REF!</v>
      </c>
      <c r="CS7" s="34" t="e">
        <f>AND(#REF!,"AAAAAFX/v2A=")</f>
        <v>#REF!</v>
      </c>
      <c r="CT7" s="34" t="e">
        <f>AND(#REF!,"AAAAAFX/v2E=")</f>
        <v>#REF!</v>
      </c>
      <c r="CU7" s="34" t="e">
        <f>AND(#REF!,"AAAAAFX/v2I=")</f>
        <v>#REF!</v>
      </c>
      <c r="CV7" s="34" t="e">
        <f>AND(#REF!,"AAAAAFX/v2M=")</f>
        <v>#REF!</v>
      </c>
      <c r="CW7" s="34" t="e">
        <f>AND(#REF!,"AAAAAFX/v2Q=")</f>
        <v>#REF!</v>
      </c>
      <c r="CX7" s="34" t="e">
        <f>AND(#REF!,"AAAAAFX/v2U=")</f>
        <v>#REF!</v>
      </c>
      <c r="CY7" s="34" t="e">
        <f>AND(#REF!,"AAAAAFX/v2Y=")</f>
        <v>#REF!</v>
      </c>
      <c r="CZ7" s="34" t="e">
        <f>AND(#REF!,"AAAAAFX/v2c=")</f>
        <v>#REF!</v>
      </c>
      <c r="DA7" s="34" t="e">
        <f>AND(#REF!,"AAAAAFX/v2g=")</f>
        <v>#REF!</v>
      </c>
      <c r="DB7" s="34" t="e">
        <f>AND(#REF!,"AAAAAFX/v2k=")</f>
        <v>#REF!</v>
      </c>
      <c r="DC7" s="34" t="e">
        <f>IF(#REF!,"AAAAAFX/v2o=",0)</f>
        <v>#REF!</v>
      </c>
      <c r="DD7" s="34" t="e">
        <f>AND(#REF!,"AAAAAFX/v2s=")</f>
        <v>#REF!</v>
      </c>
      <c r="DE7" s="34" t="e">
        <f>AND(#REF!,"AAAAAFX/v2w=")</f>
        <v>#REF!</v>
      </c>
      <c r="DF7" s="34" t="e">
        <f>AND(#REF!,"AAAAAFX/v20=")</f>
        <v>#REF!</v>
      </c>
      <c r="DG7" s="34" t="e">
        <f>AND(#REF!,"AAAAAFX/v24=")</f>
        <v>#REF!</v>
      </c>
      <c r="DH7" s="34" t="e">
        <f>AND(#REF!,"AAAAAFX/v28=")</f>
        <v>#REF!</v>
      </c>
      <c r="DI7" s="34" t="e">
        <f>AND(#REF!,"AAAAAFX/v3A=")</f>
        <v>#REF!</v>
      </c>
      <c r="DJ7" s="34" t="e">
        <f>AND(#REF!,"AAAAAFX/v3E=")</f>
        <v>#REF!</v>
      </c>
      <c r="DK7" s="34" t="e">
        <f>AND(#REF!,"AAAAAFX/v3I=")</f>
        <v>#REF!</v>
      </c>
      <c r="DL7" s="34" t="e">
        <f>AND(#REF!,"AAAAAFX/v3M=")</f>
        <v>#REF!</v>
      </c>
      <c r="DM7" s="34" t="e">
        <f>AND(#REF!,"AAAAAFX/v3Q=")</f>
        <v>#REF!</v>
      </c>
      <c r="DN7" s="34" t="e">
        <f>AND(#REF!,"AAAAAFX/v3U=")</f>
        <v>#REF!</v>
      </c>
      <c r="DO7" s="34" t="e">
        <f>AND(#REF!,"AAAAAFX/v3Y=")</f>
        <v>#REF!</v>
      </c>
      <c r="DP7" s="34" t="e">
        <f>AND(#REF!,"AAAAAFX/v3c=")</f>
        <v>#REF!</v>
      </c>
      <c r="DQ7" s="34" t="e">
        <f>AND(#REF!,"AAAAAFX/v3g=")</f>
        <v>#REF!</v>
      </c>
      <c r="DR7" s="34" t="e">
        <f>AND(#REF!,"AAAAAFX/v3k=")</f>
        <v>#REF!</v>
      </c>
      <c r="DS7" s="34" t="e">
        <f>AND(#REF!,"AAAAAFX/v3o=")</f>
        <v>#REF!</v>
      </c>
      <c r="DT7" s="34" t="e">
        <f>AND(#REF!,"AAAAAFX/v3s=")</f>
        <v>#REF!</v>
      </c>
      <c r="DU7" s="34" t="e">
        <f>AND(#REF!,"AAAAAFX/v3w=")</f>
        <v>#REF!</v>
      </c>
      <c r="DV7" s="34" t="e">
        <f>AND(#REF!,"AAAAAFX/v30=")</f>
        <v>#REF!</v>
      </c>
      <c r="DW7" s="34" t="e">
        <f>AND(#REF!,"AAAAAFX/v34=")</f>
        <v>#REF!</v>
      </c>
      <c r="DX7" s="34" t="e">
        <f>AND(#REF!,"AAAAAFX/v38=")</f>
        <v>#REF!</v>
      </c>
      <c r="DY7" s="34" t="e">
        <f>AND(#REF!,"AAAAAFX/v4A=")</f>
        <v>#REF!</v>
      </c>
      <c r="DZ7" s="34" t="e">
        <f>AND(#REF!,"AAAAAFX/v4E=")</f>
        <v>#REF!</v>
      </c>
      <c r="EA7" s="34" t="e">
        <f>AND(#REF!,"AAAAAFX/v4I=")</f>
        <v>#REF!</v>
      </c>
      <c r="EB7" s="34" t="e">
        <f>AND(#REF!,"AAAAAFX/v4M=")</f>
        <v>#REF!</v>
      </c>
      <c r="EC7" s="34" t="e">
        <f>AND(#REF!,"AAAAAFX/v4Q=")</f>
        <v>#REF!</v>
      </c>
      <c r="ED7" s="34" t="e">
        <f>AND(#REF!,"AAAAAFX/v4U=")</f>
        <v>#REF!</v>
      </c>
      <c r="EE7" s="34" t="e">
        <f>AND(#REF!,"AAAAAFX/v4Y=")</f>
        <v>#REF!</v>
      </c>
      <c r="EF7" s="34" t="e">
        <f>AND(#REF!,"AAAAAFX/v4c=")</f>
        <v>#REF!</v>
      </c>
      <c r="EG7" s="34" t="e">
        <f>AND(#REF!,"AAAAAFX/v4g=")</f>
        <v>#REF!</v>
      </c>
      <c r="EH7" s="34" t="e">
        <f>AND(#REF!,"AAAAAFX/v4k=")</f>
        <v>#REF!</v>
      </c>
      <c r="EI7" s="34" t="e">
        <f>AND(#REF!,"AAAAAFX/v4o=")</f>
        <v>#REF!</v>
      </c>
      <c r="EJ7" s="34" t="e">
        <f>AND(#REF!,"AAAAAFX/v4s=")</f>
        <v>#REF!</v>
      </c>
      <c r="EK7" s="34" t="e">
        <f>AND(#REF!,"AAAAAFX/v4w=")</f>
        <v>#REF!</v>
      </c>
      <c r="EL7" s="34" t="e">
        <f>AND(#REF!,"AAAAAFX/v40=")</f>
        <v>#REF!</v>
      </c>
      <c r="EM7" s="34" t="e">
        <f>AND(#REF!,"AAAAAFX/v44=")</f>
        <v>#REF!</v>
      </c>
      <c r="EN7" s="34" t="e">
        <f>AND(#REF!,"AAAAAFX/v48=")</f>
        <v>#REF!</v>
      </c>
      <c r="EO7" s="34" t="e">
        <f>AND(#REF!,"AAAAAFX/v5A=")</f>
        <v>#REF!</v>
      </c>
      <c r="EP7" s="34" t="e">
        <f>AND(#REF!,"AAAAAFX/v5E=")</f>
        <v>#REF!</v>
      </c>
      <c r="EQ7" s="34" t="e">
        <f>AND(#REF!,"AAAAAFX/v5I=")</f>
        <v>#REF!</v>
      </c>
      <c r="ER7" s="34" t="e">
        <f>AND(#REF!,"AAAAAFX/v5M=")</f>
        <v>#REF!</v>
      </c>
      <c r="ES7" s="34" t="e">
        <f>AND(#REF!,"AAAAAFX/v5Q=")</f>
        <v>#REF!</v>
      </c>
      <c r="ET7" s="34" t="e">
        <f>AND(#REF!,"AAAAAFX/v5U=")</f>
        <v>#REF!</v>
      </c>
      <c r="EU7" s="34" t="e">
        <f>AND(#REF!,"AAAAAFX/v5Y=")</f>
        <v>#REF!</v>
      </c>
      <c r="EV7" s="34" t="e">
        <f>AND(#REF!,"AAAAAFX/v5c=")</f>
        <v>#REF!</v>
      </c>
      <c r="EW7" s="34" t="e">
        <f>IF(#REF!,"AAAAAFX/v5g=",0)</f>
        <v>#REF!</v>
      </c>
      <c r="EX7" s="34" t="e">
        <f>AND(#REF!,"AAAAAFX/v5k=")</f>
        <v>#REF!</v>
      </c>
      <c r="EY7" s="34" t="e">
        <f>AND(#REF!,"AAAAAFX/v5o=")</f>
        <v>#REF!</v>
      </c>
      <c r="EZ7" s="34" t="e">
        <f>AND(#REF!,"AAAAAFX/v5s=")</f>
        <v>#REF!</v>
      </c>
      <c r="FA7" s="34" t="e">
        <f>AND(#REF!,"AAAAAFX/v5w=")</f>
        <v>#REF!</v>
      </c>
      <c r="FB7" s="34" t="e">
        <f>AND(#REF!,"AAAAAFX/v50=")</f>
        <v>#REF!</v>
      </c>
      <c r="FC7" s="34" t="e">
        <f>AND(#REF!,"AAAAAFX/v54=")</f>
        <v>#REF!</v>
      </c>
      <c r="FD7" s="34" t="e">
        <f>AND(#REF!,"AAAAAFX/v58=")</f>
        <v>#REF!</v>
      </c>
      <c r="FE7" s="34" t="e">
        <f>AND(#REF!,"AAAAAFX/v6A=")</f>
        <v>#REF!</v>
      </c>
      <c r="FF7" s="34" t="e">
        <f>AND(#REF!,"AAAAAFX/v6E=")</f>
        <v>#REF!</v>
      </c>
      <c r="FG7" s="34" t="e">
        <f>AND(#REF!,"AAAAAFX/v6I=")</f>
        <v>#REF!</v>
      </c>
      <c r="FH7" s="34" t="e">
        <f>AND(#REF!,"AAAAAFX/v6M=")</f>
        <v>#REF!</v>
      </c>
      <c r="FI7" s="34" t="e">
        <f>AND(#REF!,"AAAAAFX/v6Q=")</f>
        <v>#REF!</v>
      </c>
      <c r="FJ7" s="34" t="e">
        <f>AND(#REF!,"AAAAAFX/v6U=")</f>
        <v>#REF!</v>
      </c>
      <c r="FK7" s="34" t="e">
        <f>AND(#REF!,"AAAAAFX/v6Y=")</f>
        <v>#REF!</v>
      </c>
      <c r="FL7" s="34" t="e">
        <f>AND(#REF!,"AAAAAFX/v6c=")</f>
        <v>#REF!</v>
      </c>
      <c r="FM7" s="34" t="e">
        <f>AND(#REF!,"AAAAAFX/v6g=")</f>
        <v>#REF!</v>
      </c>
      <c r="FN7" s="34" t="e">
        <f>AND(#REF!,"AAAAAFX/v6k=")</f>
        <v>#REF!</v>
      </c>
      <c r="FO7" s="34" t="e">
        <f>AND(#REF!,"AAAAAFX/v6o=")</f>
        <v>#REF!</v>
      </c>
      <c r="FP7" s="34" t="e">
        <f>AND(#REF!,"AAAAAFX/v6s=")</f>
        <v>#REF!</v>
      </c>
      <c r="FQ7" s="34" t="e">
        <f>AND(#REF!,"AAAAAFX/v6w=")</f>
        <v>#REF!</v>
      </c>
      <c r="FR7" s="34" t="e">
        <f>AND(#REF!,"AAAAAFX/v60=")</f>
        <v>#REF!</v>
      </c>
      <c r="FS7" s="34" t="e">
        <f>AND(#REF!,"AAAAAFX/v64=")</f>
        <v>#REF!</v>
      </c>
      <c r="FT7" s="34" t="e">
        <f>AND(#REF!,"AAAAAFX/v68=")</f>
        <v>#REF!</v>
      </c>
      <c r="FU7" s="34" t="e">
        <f>AND(#REF!,"AAAAAFX/v7A=")</f>
        <v>#REF!</v>
      </c>
      <c r="FV7" s="34" t="e">
        <f>AND(#REF!,"AAAAAFX/v7E=")</f>
        <v>#REF!</v>
      </c>
      <c r="FW7" s="34" t="e">
        <f>AND(#REF!,"AAAAAFX/v7I=")</f>
        <v>#REF!</v>
      </c>
      <c r="FX7" s="34" t="e">
        <f>AND(#REF!,"AAAAAFX/v7M=")</f>
        <v>#REF!</v>
      </c>
      <c r="FY7" s="34" t="e">
        <f>AND(#REF!,"AAAAAFX/v7Q=")</f>
        <v>#REF!</v>
      </c>
      <c r="FZ7" s="34" t="e">
        <f>AND(#REF!,"AAAAAFX/v7U=")</f>
        <v>#REF!</v>
      </c>
      <c r="GA7" s="34" t="e">
        <f>AND(#REF!,"AAAAAFX/v7Y=")</f>
        <v>#REF!</v>
      </c>
      <c r="GB7" s="34" t="e">
        <f>AND(#REF!,"AAAAAFX/v7c=")</f>
        <v>#REF!</v>
      </c>
      <c r="GC7" s="34" t="e">
        <f>AND(#REF!,"AAAAAFX/v7g=")</f>
        <v>#REF!</v>
      </c>
      <c r="GD7" s="34" t="e">
        <f>AND(#REF!,"AAAAAFX/v7k=")</f>
        <v>#REF!</v>
      </c>
      <c r="GE7" s="34" t="e">
        <f>AND(#REF!,"AAAAAFX/v7o=")</f>
        <v>#REF!</v>
      </c>
      <c r="GF7" s="34" t="e">
        <f>AND(#REF!,"AAAAAFX/v7s=")</f>
        <v>#REF!</v>
      </c>
      <c r="GG7" s="34" t="e">
        <f>AND(#REF!,"AAAAAFX/v7w=")</f>
        <v>#REF!</v>
      </c>
      <c r="GH7" s="34" t="e">
        <f>AND(#REF!,"AAAAAFX/v70=")</f>
        <v>#REF!</v>
      </c>
      <c r="GI7" s="34" t="e">
        <f>AND(#REF!,"AAAAAFX/v74=")</f>
        <v>#REF!</v>
      </c>
      <c r="GJ7" s="34" t="e">
        <f>AND(#REF!,"AAAAAFX/v78=")</f>
        <v>#REF!</v>
      </c>
      <c r="GK7" s="34" t="e">
        <f>AND(#REF!,"AAAAAFX/v8A=")</f>
        <v>#REF!</v>
      </c>
      <c r="GL7" s="34" t="e">
        <f>AND(#REF!,"AAAAAFX/v8E=")</f>
        <v>#REF!</v>
      </c>
      <c r="GM7" s="34" t="e">
        <f>AND(#REF!,"AAAAAFX/v8I=")</f>
        <v>#REF!</v>
      </c>
      <c r="GN7" s="34" t="e">
        <f>AND(#REF!,"AAAAAFX/v8M=")</f>
        <v>#REF!</v>
      </c>
      <c r="GO7" s="34" t="e">
        <f>AND(#REF!,"AAAAAFX/v8Q=")</f>
        <v>#REF!</v>
      </c>
      <c r="GP7" s="34" t="e">
        <f>AND(#REF!,"AAAAAFX/v8U=")</f>
        <v>#REF!</v>
      </c>
      <c r="GQ7" s="34" t="e">
        <f>IF(#REF!,"AAAAAFX/v8Y=",0)</f>
        <v>#REF!</v>
      </c>
      <c r="GR7" s="34" t="e">
        <f>AND(#REF!,"AAAAAFX/v8c=")</f>
        <v>#REF!</v>
      </c>
      <c r="GS7" s="34" t="e">
        <f>AND(#REF!,"AAAAAFX/v8g=")</f>
        <v>#REF!</v>
      </c>
      <c r="GT7" s="34" t="e">
        <f>AND(#REF!,"AAAAAFX/v8k=")</f>
        <v>#REF!</v>
      </c>
      <c r="GU7" s="34" t="e">
        <f>AND(#REF!,"AAAAAFX/v8o=")</f>
        <v>#REF!</v>
      </c>
      <c r="GV7" s="34" t="e">
        <f>AND(#REF!,"AAAAAFX/v8s=")</f>
        <v>#REF!</v>
      </c>
      <c r="GW7" s="34" t="e">
        <f>AND(#REF!,"AAAAAFX/v8w=")</f>
        <v>#REF!</v>
      </c>
      <c r="GX7" s="34" t="e">
        <f>AND(#REF!,"AAAAAFX/v80=")</f>
        <v>#REF!</v>
      </c>
      <c r="GY7" s="34" t="e">
        <f>AND(#REF!,"AAAAAFX/v84=")</f>
        <v>#REF!</v>
      </c>
      <c r="GZ7" s="34" t="e">
        <f>AND(#REF!,"AAAAAFX/v88=")</f>
        <v>#REF!</v>
      </c>
      <c r="HA7" s="34" t="e">
        <f>AND(#REF!,"AAAAAFX/v9A=")</f>
        <v>#REF!</v>
      </c>
      <c r="HB7" s="34" t="e">
        <f>AND(#REF!,"AAAAAFX/v9E=")</f>
        <v>#REF!</v>
      </c>
      <c r="HC7" s="34" t="e">
        <f>AND(#REF!,"AAAAAFX/v9I=")</f>
        <v>#REF!</v>
      </c>
      <c r="HD7" s="34" t="e">
        <f>AND(#REF!,"AAAAAFX/v9M=")</f>
        <v>#REF!</v>
      </c>
      <c r="HE7" s="34" t="e">
        <f>AND(#REF!,"AAAAAFX/v9Q=")</f>
        <v>#REF!</v>
      </c>
      <c r="HF7" s="34" t="e">
        <f>AND(#REF!,"AAAAAFX/v9U=")</f>
        <v>#REF!</v>
      </c>
      <c r="HG7" s="34" t="e">
        <f>AND(#REF!,"AAAAAFX/v9Y=")</f>
        <v>#REF!</v>
      </c>
      <c r="HH7" s="34" t="e">
        <f>AND(#REF!,"AAAAAFX/v9c=")</f>
        <v>#REF!</v>
      </c>
      <c r="HI7" s="34" t="e">
        <f>AND(#REF!,"AAAAAFX/v9g=")</f>
        <v>#REF!</v>
      </c>
      <c r="HJ7" s="34" t="e">
        <f>AND(#REF!,"AAAAAFX/v9k=")</f>
        <v>#REF!</v>
      </c>
      <c r="HK7" s="34" t="e">
        <f>AND(#REF!,"AAAAAFX/v9o=")</f>
        <v>#REF!</v>
      </c>
      <c r="HL7" s="34" t="e">
        <f>AND(#REF!,"AAAAAFX/v9s=")</f>
        <v>#REF!</v>
      </c>
      <c r="HM7" s="34" t="e">
        <f>AND(#REF!,"AAAAAFX/v9w=")</f>
        <v>#REF!</v>
      </c>
      <c r="HN7" s="34" t="e">
        <f>AND(#REF!,"AAAAAFX/v90=")</f>
        <v>#REF!</v>
      </c>
      <c r="HO7" s="34" t="e">
        <f>AND(#REF!,"AAAAAFX/v94=")</f>
        <v>#REF!</v>
      </c>
      <c r="HP7" s="34" t="e">
        <f>AND(#REF!,"AAAAAFX/v98=")</f>
        <v>#REF!</v>
      </c>
      <c r="HQ7" s="34" t="e">
        <f>AND(#REF!,"AAAAAFX/v+A=")</f>
        <v>#REF!</v>
      </c>
      <c r="HR7" s="34" t="e">
        <f>AND(#REF!,"AAAAAFX/v+E=")</f>
        <v>#REF!</v>
      </c>
      <c r="HS7" s="34" t="e">
        <f>AND(#REF!,"AAAAAFX/v+I=")</f>
        <v>#REF!</v>
      </c>
      <c r="HT7" s="34" t="e">
        <f>AND(#REF!,"AAAAAFX/v+M=")</f>
        <v>#REF!</v>
      </c>
      <c r="HU7" s="34" t="e">
        <f>AND(#REF!,"AAAAAFX/v+Q=")</f>
        <v>#REF!</v>
      </c>
      <c r="HV7" s="34" t="e">
        <f>AND(#REF!,"AAAAAFX/v+U=")</f>
        <v>#REF!</v>
      </c>
      <c r="HW7" s="34" t="e">
        <f>AND(#REF!,"AAAAAFX/v+Y=")</f>
        <v>#REF!</v>
      </c>
      <c r="HX7" s="34" t="e">
        <f>AND(#REF!,"AAAAAFX/v+c=")</f>
        <v>#REF!</v>
      </c>
      <c r="HY7" s="34" t="e">
        <f>AND(#REF!,"AAAAAFX/v+g=")</f>
        <v>#REF!</v>
      </c>
      <c r="HZ7" s="34" t="e">
        <f>AND(#REF!,"AAAAAFX/v+k=")</f>
        <v>#REF!</v>
      </c>
      <c r="IA7" s="34" t="e">
        <f>AND(#REF!,"AAAAAFX/v+o=")</f>
        <v>#REF!</v>
      </c>
      <c r="IB7" s="34" t="e">
        <f>AND(#REF!,"AAAAAFX/v+s=")</f>
        <v>#REF!</v>
      </c>
      <c r="IC7" s="34" t="e">
        <f>AND(#REF!,"AAAAAFX/v+w=")</f>
        <v>#REF!</v>
      </c>
      <c r="ID7" s="34" t="e">
        <f>AND(#REF!,"AAAAAFX/v+0=")</f>
        <v>#REF!</v>
      </c>
      <c r="IE7" s="34" t="e">
        <f>AND(#REF!,"AAAAAFX/v+4=")</f>
        <v>#REF!</v>
      </c>
      <c r="IF7" s="34" t="e">
        <f>AND(#REF!,"AAAAAFX/v+8=")</f>
        <v>#REF!</v>
      </c>
      <c r="IG7" s="34" t="e">
        <f>AND(#REF!,"AAAAAFX/v/A=")</f>
        <v>#REF!</v>
      </c>
      <c r="IH7" s="34" t="e">
        <f>AND(#REF!,"AAAAAFX/v/E=")</f>
        <v>#REF!</v>
      </c>
      <c r="II7" s="34" t="e">
        <f>AND(#REF!,"AAAAAFX/v/I=")</f>
        <v>#REF!</v>
      </c>
      <c r="IJ7" s="34" t="e">
        <f>AND(#REF!,"AAAAAFX/v/M=")</f>
        <v>#REF!</v>
      </c>
      <c r="IK7" s="34" t="e">
        <f>IF(#REF!,"AAAAAFX/v/Q=",0)</f>
        <v>#REF!</v>
      </c>
      <c r="IL7" s="34" t="e">
        <f>AND(#REF!,"AAAAAFX/v/U=")</f>
        <v>#REF!</v>
      </c>
      <c r="IM7" s="34" t="e">
        <f>AND(#REF!,"AAAAAFX/v/Y=")</f>
        <v>#REF!</v>
      </c>
      <c r="IN7" s="34" t="e">
        <f>AND(#REF!,"AAAAAFX/v/c=")</f>
        <v>#REF!</v>
      </c>
      <c r="IO7" s="34" t="e">
        <f>AND(#REF!,"AAAAAFX/v/g=")</f>
        <v>#REF!</v>
      </c>
      <c r="IP7" s="34" t="e">
        <f>AND(#REF!,"AAAAAFX/v/k=")</f>
        <v>#REF!</v>
      </c>
      <c r="IQ7" s="34" t="e">
        <f>AND(#REF!,"AAAAAFX/v/o=")</f>
        <v>#REF!</v>
      </c>
      <c r="IR7" s="34" t="e">
        <f>AND(#REF!,"AAAAAFX/v/s=")</f>
        <v>#REF!</v>
      </c>
      <c r="IS7" s="34" t="e">
        <f>AND(#REF!,"AAAAAFX/v/w=")</f>
        <v>#REF!</v>
      </c>
      <c r="IT7" s="34" t="e">
        <f>AND(#REF!,"AAAAAFX/v/0=")</f>
        <v>#REF!</v>
      </c>
      <c r="IU7" s="34" t="e">
        <f>AND(#REF!,"AAAAAFX/v/4=")</f>
        <v>#REF!</v>
      </c>
      <c r="IV7" s="34" t="e">
        <f>AND(#REF!,"AAAAAFX/v/8=")</f>
        <v>#REF!</v>
      </c>
    </row>
    <row r="8" spans="1:256" ht="12.75" customHeight="1" x14ac:dyDescent="0.2">
      <c r="A8" s="34" t="e">
        <f>AND(#REF!,"AAAAAHK+cgA=")</f>
        <v>#REF!</v>
      </c>
      <c r="B8" s="34" t="e">
        <f>AND(#REF!,"AAAAAHK+cgE=")</f>
        <v>#REF!</v>
      </c>
      <c r="C8" s="34" t="e">
        <f>AND(#REF!,"AAAAAHK+cgI=")</f>
        <v>#REF!</v>
      </c>
      <c r="D8" s="34" t="e">
        <f>AND(#REF!,"AAAAAHK+cgM=")</f>
        <v>#REF!</v>
      </c>
      <c r="E8" s="34" t="e">
        <f>AND(#REF!,"AAAAAHK+cgQ=")</f>
        <v>#REF!</v>
      </c>
      <c r="F8" s="34" t="e">
        <f>AND(#REF!,"AAAAAHK+cgU=")</f>
        <v>#REF!</v>
      </c>
      <c r="G8" s="34" t="e">
        <f>AND(#REF!,"AAAAAHK+cgY=")</f>
        <v>#REF!</v>
      </c>
      <c r="H8" s="34" t="e">
        <f>AND(#REF!,"AAAAAHK+cgc=")</f>
        <v>#REF!</v>
      </c>
      <c r="I8" s="34" t="e">
        <f>AND(#REF!,"AAAAAHK+cgg=")</f>
        <v>#REF!</v>
      </c>
      <c r="J8" s="34" t="e">
        <f>AND(#REF!,"AAAAAHK+cgk=")</f>
        <v>#REF!</v>
      </c>
      <c r="K8" s="34" t="e">
        <f>AND(#REF!,"AAAAAHK+cgo=")</f>
        <v>#REF!</v>
      </c>
      <c r="L8" s="34" t="e">
        <f>AND(#REF!,"AAAAAHK+cgs=")</f>
        <v>#REF!</v>
      </c>
      <c r="M8" s="34" t="e">
        <f>AND(#REF!,"AAAAAHK+cgw=")</f>
        <v>#REF!</v>
      </c>
      <c r="N8" s="34" t="e">
        <f>AND(#REF!,"AAAAAHK+cg0=")</f>
        <v>#REF!</v>
      </c>
      <c r="O8" s="34" t="e">
        <f>AND(#REF!,"AAAAAHK+cg4=")</f>
        <v>#REF!</v>
      </c>
      <c r="P8" s="34" t="e">
        <f>AND(#REF!,"AAAAAHK+cg8=")</f>
        <v>#REF!</v>
      </c>
      <c r="Q8" s="34" t="e">
        <f>AND(#REF!,"AAAAAHK+chA=")</f>
        <v>#REF!</v>
      </c>
      <c r="R8" s="34" t="e">
        <f>AND(#REF!,"AAAAAHK+chE=")</f>
        <v>#REF!</v>
      </c>
      <c r="S8" s="34" t="e">
        <f>AND(#REF!,"AAAAAHK+chI=")</f>
        <v>#REF!</v>
      </c>
      <c r="T8" s="34" t="e">
        <f>AND(#REF!,"AAAAAHK+chM=")</f>
        <v>#REF!</v>
      </c>
      <c r="U8" s="34" t="e">
        <f>AND(#REF!,"AAAAAHK+chQ=")</f>
        <v>#REF!</v>
      </c>
      <c r="V8" s="34" t="e">
        <f>AND(#REF!,"AAAAAHK+chU=")</f>
        <v>#REF!</v>
      </c>
      <c r="W8" s="34" t="e">
        <f>AND(#REF!,"AAAAAHK+chY=")</f>
        <v>#REF!</v>
      </c>
      <c r="X8" s="34" t="e">
        <f>AND(#REF!,"AAAAAHK+chc=")</f>
        <v>#REF!</v>
      </c>
      <c r="Y8" s="34" t="e">
        <f>AND(#REF!,"AAAAAHK+chg=")</f>
        <v>#REF!</v>
      </c>
      <c r="Z8" s="34" t="e">
        <f>AND(#REF!,"AAAAAHK+chk=")</f>
        <v>#REF!</v>
      </c>
      <c r="AA8" s="34" t="e">
        <f>AND(#REF!,"AAAAAHK+cho=")</f>
        <v>#REF!</v>
      </c>
      <c r="AB8" s="34" t="e">
        <f>AND(#REF!,"AAAAAHK+chs=")</f>
        <v>#REF!</v>
      </c>
      <c r="AC8" s="34" t="e">
        <f>AND(#REF!,"AAAAAHK+chw=")</f>
        <v>#REF!</v>
      </c>
      <c r="AD8" s="34" t="e">
        <f>AND(#REF!,"AAAAAHK+ch0=")</f>
        <v>#REF!</v>
      </c>
      <c r="AE8" s="34" t="e">
        <f>AND(#REF!,"AAAAAHK+ch4=")</f>
        <v>#REF!</v>
      </c>
      <c r="AF8" s="34" t="e">
        <f>AND(#REF!,"AAAAAHK+ch8=")</f>
        <v>#REF!</v>
      </c>
      <c r="AG8" s="34" t="e">
        <f>AND(#REF!,"AAAAAHK+ciA=")</f>
        <v>#REF!</v>
      </c>
      <c r="AH8" s="34" t="e">
        <f>AND(#REF!,"AAAAAHK+ciE=")</f>
        <v>#REF!</v>
      </c>
      <c r="AI8" s="34" t="e">
        <f>IF(#REF!,"AAAAAHK+ciI=",0)</f>
        <v>#REF!</v>
      </c>
      <c r="AJ8" s="34" t="e">
        <f>AND(#REF!,"AAAAAHK+ciM=")</f>
        <v>#REF!</v>
      </c>
      <c r="AK8" s="34" t="e">
        <f>AND(#REF!,"AAAAAHK+ciQ=")</f>
        <v>#REF!</v>
      </c>
      <c r="AL8" s="34" t="e">
        <f>AND(#REF!,"AAAAAHK+ciU=")</f>
        <v>#REF!</v>
      </c>
      <c r="AM8" s="34" t="e">
        <f>AND(#REF!,"AAAAAHK+ciY=")</f>
        <v>#REF!</v>
      </c>
      <c r="AN8" s="34" t="e">
        <f>AND(#REF!,"AAAAAHK+cic=")</f>
        <v>#REF!</v>
      </c>
      <c r="AO8" s="34" t="e">
        <f>AND(#REF!,"AAAAAHK+cig=")</f>
        <v>#REF!</v>
      </c>
      <c r="AP8" s="34" t="e">
        <f>AND(#REF!,"AAAAAHK+cik=")</f>
        <v>#REF!</v>
      </c>
      <c r="AQ8" s="34" t="e">
        <f>AND(#REF!,"AAAAAHK+cio=")</f>
        <v>#REF!</v>
      </c>
      <c r="AR8" s="34" t="e">
        <f>AND(#REF!,"AAAAAHK+cis=")</f>
        <v>#REF!</v>
      </c>
      <c r="AS8" s="34" t="e">
        <f>AND(#REF!,"AAAAAHK+ciw=")</f>
        <v>#REF!</v>
      </c>
      <c r="AT8" s="34" t="e">
        <f>AND(#REF!,"AAAAAHK+ci0=")</f>
        <v>#REF!</v>
      </c>
      <c r="AU8" s="34" t="e">
        <f>AND(#REF!,"AAAAAHK+ci4=")</f>
        <v>#REF!</v>
      </c>
      <c r="AV8" s="34" t="e">
        <f>AND(#REF!,"AAAAAHK+ci8=")</f>
        <v>#REF!</v>
      </c>
      <c r="AW8" s="34" t="e">
        <f>AND(#REF!,"AAAAAHK+cjA=")</f>
        <v>#REF!</v>
      </c>
      <c r="AX8" s="34" t="e">
        <f>AND(#REF!,"AAAAAHK+cjE=")</f>
        <v>#REF!</v>
      </c>
      <c r="AY8" s="34" t="e">
        <f>AND(#REF!,"AAAAAHK+cjI=")</f>
        <v>#REF!</v>
      </c>
      <c r="AZ8" s="34" t="e">
        <f>AND(#REF!,"AAAAAHK+cjM=")</f>
        <v>#REF!</v>
      </c>
      <c r="BA8" s="34" t="e">
        <f>AND(#REF!,"AAAAAHK+cjQ=")</f>
        <v>#REF!</v>
      </c>
      <c r="BB8" s="34" t="e">
        <f>AND(#REF!,"AAAAAHK+cjU=")</f>
        <v>#REF!</v>
      </c>
      <c r="BC8" s="34" t="e">
        <f>AND(#REF!,"AAAAAHK+cjY=")</f>
        <v>#REF!</v>
      </c>
      <c r="BD8" s="34" t="e">
        <f>AND(#REF!,"AAAAAHK+cjc=")</f>
        <v>#REF!</v>
      </c>
      <c r="BE8" s="34" t="e">
        <f>AND(#REF!,"AAAAAHK+cjg=")</f>
        <v>#REF!</v>
      </c>
      <c r="BF8" s="34" t="e">
        <f>AND(#REF!,"AAAAAHK+cjk=")</f>
        <v>#REF!</v>
      </c>
      <c r="BG8" s="34" t="e">
        <f>AND(#REF!,"AAAAAHK+cjo=")</f>
        <v>#REF!</v>
      </c>
      <c r="BH8" s="34" t="e">
        <f>AND(#REF!,"AAAAAHK+cjs=")</f>
        <v>#REF!</v>
      </c>
      <c r="BI8" s="34" t="e">
        <f>AND(#REF!,"AAAAAHK+cjw=")</f>
        <v>#REF!</v>
      </c>
      <c r="BJ8" s="34" t="e">
        <f>AND(#REF!,"AAAAAHK+cj0=")</f>
        <v>#REF!</v>
      </c>
      <c r="BK8" s="34" t="e">
        <f>AND(#REF!,"AAAAAHK+cj4=")</f>
        <v>#REF!</v>
      </c>
      <c r="BL8" s="34" t="e">
        <f>AND(#REF!,"AAAAAHK+cj8=")</f>
        <v>#REF!</v>
      </c>
      <c r="BM8" s="34" t="e">
        <f>AND(#REF!,"AAAAAHK+ckA=")</f>
        <v>#REF!</v>
      </c>
      <c r="BN8" s="34" t="e">
        <f>AND(#REF!,"AAAAAHK+ckE=")</f>
        <v>#REF!</v>
      </c>
      <c r="BO8" s="34" t="e">
        <f>AND(#REF!,"AAAAAHK+ckI=")</f>
        <v>#REF!</v>
      </c>
      <c r="BP8" s="34" t="e">
        <f>AND(#REF!,"AAAAAHK+ckM=")</f>
        <v>#REF!</v>
      </c>
      <c r="BQ8" s="34" t="e">
        <f>AND(#REF!,"AAAAAHK+ckQ=")</f>
        <v>#REF!</v>
      </c>
      <c r="BR8" s="34" t="e">
        <f>AND(#REF!,"AAAAAHK+ckU=")</f>
        <v>#REF!</v>
      </c>
      <c r="BS8" s="34" t="e">
        <f>AND(#REF!,"AAAAAHK+ckY=")</f>
        <v>#REF!</v>
      </c>
      <c r="BT8" s="34" t="e">
        <f>AND(#REF!,"AAAAAHK+ckc=")</f>
        <v>#REF!</v>
      </c>
      <c r="BU8" s="34" t="e">
        <f>AND(#REF!,"AAAAAHK+ckg=")</f>
        <v>#REF!</v>
      </c>
      <c r="BV8" s="34" t="e">
        <f>AND(#REF!,"AAAAAHK+ckk=")</f>
        <v>#REF!</v>
      </c>
      <c r="BW8" s="34" t="e">
        <f>AND(#REF!,"AAAAAHK+cko=")</f>
        <v>#REF!</v>
      </c>
      <c r="BX8" s="34" t="e">
        <f>AND(#REF!,"AAAAAHK+cks=")</f>
        <v>#REF!</v>
      </c>
      <c r="BY8" s="34" t="e">
        <f>AND(#REF!,"AAAAAHK+ckw=")</f>
        <v>#REF!</v>
      </c>
      <c r="BZ8" s="34" t="e">
        <f>AND(#REF!,"AAAAAHK+ck0=")</f>
        <v>#REF!</v>
      </c>
      <c r="CA8" s="34" t="e">
        <f>AND(#REF!,"AAAAAHK+ck4=")</f>
        <v>#REF!</v>
      </c>
      <c r="CB8" s="34" t="e">
        <f>AND(#REF!,"AAAAAHK+ck8=")</f>
        <v>#REF!</v>
      </c>
      <c r="CC8" s="34" t="e">
        <f>IF(#REF!,"AAAAAHK+clA=",0)</f>
        <v>#REF!</v>
      </c>
      <c r="CD8" s="34" t="e">
        <f>AND(#REF!,"AAAAAHK+clE=")</f>
        <v>#REF!</v>
      </c>
      <c r="CE8" s="34" t="e">
        <f>AND(#REF!,"AAAAAHK+clI=")</f>
        <v>#REF!</v>
      </c>
      <c r="CF8" s="34" t="e">
        <f>AND(#REF!,"AAAAAHK+clM=")</f>
        <v>#REF!</v>
      </c>
      <c r="CG8" s="34" t="e">
        <f>AND(#REF!,"AAAAAHK+clQ=")</f>
        <v>#REF!</v>
      </c>
      <c r="CH8" s="34" t="e">
        <f>AND(#REF!,"AAAAAHK+clU=")</f>
        <v>#REF!</v>
      </c>
      <c r="CI8" s="34" t="e">
        <f>AND(#REF!,"AAAAAHK+clY=")</f>
        <v>#REF!</v>
      </c>
      <c r="CJ8" s="34" t="e">
        <f>AND(#REF!,"AAAAAHK+clc=")</f>
        <v>#REF!</v>
      </c>
      <c r="CK8" s="34" t="e">
        <f>AND(#REF!,"AAAAAHK+clg=")</f>
        <v>#REF!</v>
      </c>
      <c r="CL8" s="34" t="e">
        <f>AND(#REF!,"AAAAAHK+clk=")</f>
        <v>#REF!</v>
      </c>
      <c r="CM8" s="34" t="e">
        <f>AND(#REF!,"AAAAAHK+clo=")</f>
        <v>#REF!</v>
      </c>
      <c r="CN8" s="34" t="e">
        <f>AND(#REF!,"AAAAAHK+cls=")</f>
        <v>#REF!</v>
      </c>
      <c r="CO8" s="34" t="e">
        <f>AND(#REF!,"AAAAAHK+clw=")</f>
        <v>#REF!</v>
      </c>
      <c r="CP8" s="34" t="e">
        <f>AND(#REF!,"AAAAAHK+cl0=")</f>
        <v>#REF!</v>
      </c>
      <c r="CQ8" s="34" t="e">
        <f>AND(#REF!,"AAAAAHK+cl4=")</f>
        <v>#REF!</v>
      </c>
      <c r="CR8" s="34" t="e">
        <f>AND(#REF!,"AAAAAHK+cl8=")</f>
        <v>#REF!</v>
      </c>
      <c r="CS8" s="34" t="e">
        <f>AND(#REF!,"AAAAAHK+cmA=")</f>
        <v>#REF!</v>
      </c>
      <c r="CT8" s="34" t="e">
        <f>AND(#REF!,"AAAAAHK+cmE=")</f>
        <v>#REF!</v>
      </c>
      <c r="CU8" s="34" t="e">
        <f>AND(#REF!,"AAAAAHK+cmI=")</f>
        <v>#REF!</v>
      </c>
      <c r="CV8" s="34" t="e">
        <f>AND(#REF!,"AAAAAHK+cmM=")</f>
        <v>#REF!</v>
      </c>
      <c r="CW8" s="34" t="e">
        <f>AND(#REF!,"AAAAAHK+cmQ=")</f>
        <v>#REF!</v>
      </c>
      <c r="CX8" s="34" t="e">
        <f>AND(#REF!,"AAAAAHK+cmU=")</f>
        <v>#REF!</v>
      </c>
      <c r="CY8" s="34" t="e">
        <f>AND(#REF!,"AAAAAHK+cmY=")</f>
        <v>#REF!</v>
      </c>
      <c r="CZ8" s="34" t="e">
        <f>AND(#REF!,"AAAAAHK+cmc=")</f>
        <v>#REF!</v>
      </c>
      <c r="DA8" s="34" t="e">
        <f>AND(#REF!,"AAAAAHK+cmg=")</f>
        <v>#REF!</v>
      </c>
      <c r="DB8" s="34" t="e">
        <f>AND(#REF!,"AAAAAHK+cmk=")</f>
        <v>#REF!</v>
      </c>
      <c r="DC8" s="34" t="e">
        <f>AND(#REF!,"AAAAAHK+cmo=")</f>
        <v>#REF!</v>
      </c>
      <c r="DD8" s="34" t="e">
        <f>AND(#REF!,"AAAAAHK+cms=")</f>
        <v>#REF!</v>
      </c>
      <c r="DE8" s="34" t="e">
        <f>AND(#REF!,"AAAAAHK+cmw=")</f>
        <v>#REF!</v>
      </c>
      <c r="DF8" s="34" t="e">
        <f>AND(#REF!,"AAAAAHK+cm0=")</f>
        <v>#REF!</v>
      </c>
      <c r="DG8" s="34" t="e">
        <f>AND(#REF!,"AAAAAHK+cm4=")</f>
        <v>#REF!</v>
      </c>
      <c r="DH8" s="34" t="e">
        <f>AND(#REF!,"AAAAAHK+cm8=")</f>
        <v>#REF!</v>
      </c>
      <c r="DI8" s="34" t="e">
        <f>AND(#REF!,"AAAAAHK+cnA=")</f>
        <v>#REF!</v>
      </c>
      <c r="DJ8" s="34" t="e">
        <f>AND(#REF!,"AAAAAHK+cnE=")</f>
        <v>#REF!</v>
      </c>
      <c r="DK8" s="34" t="e">
        <f>AND(#REF!,"AAAAAHK+cnI=")</f>
        <v>#REF!</v>
      </c>
      <c r="DL8" s="34" t="e">
        <f>AND(#REF!,"AAAAAHK+cnM=")</f>
        <v>#REF!</v>
      </c>
      <c r="DM8" s="34" t="e">
        <f>AND(#REF!,"AAAAAHK+cnQ=")</f>
        <v>#REF!</v>
      </c>
      <c r="DN8" s="34" t="e">
        <f>AND(#REF!,"AAAAAHK+cnU=")</f>
        <v>#REF!</v>
      </c>
      <c r="DO8" s="34" t="e">
        <f>AND(#REF!,"AAAAAHK+cnY=")</f>
        <v>#REF!</v>
      </c>
      <c r="DP8" s="34" t="e">
        <f>AND(#REF!,"AAAAAHK+cnc=")</f>
        <v>#REF!</v>
      </c>
      <c r="DQ8" s="34" t="e">
        <f>AND(#REF!,"AAAAAHK+cng=")</f>
        <v>#REF!</v>
      </c>
      <c r="DR8" s="34" t="e">
        <f>AND(#REF!,"AAAAAHK+cnk=")</f>
        <v>#REF!</v>
      </c>
      <c r="DS8" s="34" t="e">
        <f>AND(#REF!,"AAAAAHK+cno=")</f>
        <v>#REF!</v>
      </c>
      <c r="DT8" s="34" t="e">
        <f>AND(#REF!,"AAAAAHK+cns=")</f>
        <v>#REF!</v>
      </c>
      <c r="DU8" s="34" t="e">
        <f>AND(#REF!,"AAAAAHK+cnw=")</f>
        <v>#REF!</v>
      </c>
      <c r="DV8" s="34" t="e">
        <f>AND(#REF!,"AAAAAHK+cn0=")</f>
        <v>#REF!</v>
      </c>
      <c r="DW8" s="34" t="e">
        <f>IF(#REF!,"AAAAAHK+cn4=",0)</f>
        <v>#REF!</v>
      </c>
      <c r="DX8" s="34" t="e">
        <f>AND(#REF!,"AAAAAHK+cn8=")</f>
        <v>#REF!</v>
      </c>
      <c r="DY8" s="34" t="e">
        <f>AND(#REF!,"AAAAAHK+coA=")</f>
        <v>#REF!</v>
      </c>
      <c r="DZ8" s="34" t="e">
        <f>AND(#REF!,"AAAAAHK+coE=")</f>
        <v>#REF!</v>
      </c>
      <c r="EA8" s="34" t="e">
        <f>AND(#REF!,"AAAAAHK+coI=")</f>
        <v>#REF!</v>
      </c>
      <c r="EB8" s="34" t="e">
        <f>AND(#REF!,"AAAAAHK+coM=")</f>
        <v>#REF!</v>
      </c>
      <c r="EC8" s="34" t="e">
        <f>AND(#REF!,"AAAAAHK+coQ=")</f>
        <v>#REF!</v>
      </c>
      <c r="ED8" s="34" t="e">
        <f>AND(#REF!,"AAAAAHK+coU=")</f>
        <v>#REF!</v>
      </c>
      <c r="EE8" s="34" t="e">
        <f>AND(#REF!,"AAAAAHK+coY=")</f>
        <v>#REF!</v>
      </c>
      <c r="EF8" s="34" t="e">
        <f>AND(#REF!,"AAAAAHK+coc=")</f>
        <v>#REF!</v>
      </c>
      <c r="EG8" s="34" t="e">
        <f>AND(#REF!,"AAAAAHK+cog=")</f>
        <v>#REF!</v>
      </c>
      <c r="EH8" s="34" t="e">
        <f>AND(#REF!,"AAAAAHK+cok=")</f>
        <v>#REF!</v>
      </c>
      <c r="EI8" s="34" t="e">
        <f>AND(#REF!,"AAAAAHK+coo=")</f>
        <v>#REF!</v>
      </c>
      <c r="EJ8" s="34" t="e">
        <f>AND(#REF!,"AAAAAHK+cos=")</f>
        <v>#REF!</v>
      </c>
      <c r="EK8" s="34" t="e">
        <f>AND(#REF!,"AAAAAHK+cow=")</f>
        <v>#REF!</v>
      </c>
      <c r="EL8" s="34" t="e">
        <f>AND(#REF!,"AAAAAHK+co0=")</f>
        <v>#REF!</v>
      </c>
      <c r="EM8" s="34" t="e">
        <f>AND(#REF!,"AAAAAHK+co4=")</f>
        <v>#REF!</v>
      </c>
      <c r="EN8" s="34" t="e">
        <f>AND(#REF!,"AAAAAHK+co8=")</f>
        <v>#REF!</v>
      </c>
      <c r="EO8" s="34" t="e">
        <f>AND(#REF!,"AAAAAHK+cpA=")</f>
        <v>#REF!</v>
      </c>
      <c r="EP8" s="34" t="e">
        <f>AND(#REF!,"AAAAAHK+cpE=")</f>
        <v>#REF!</v>
      </c>
      <c r="EQ8" s="34" t="e">
        <f>AND(#REF!,"AAAAAHK+cpI=")</f>
        <v>#REF!</v>
      </c>
      <c r="ER8" s="34" t="e">
        <f>AND(#REF!,"AAAAAHK+cpM=")</f>
        <v>#REF!</v>
      </c>
      <c r="ES8" s="34" t="e">
        <f>AND(#REF!,"AAAAAHK+cpQ=")</f>
        <v>#REF!</v>
      </c>
      <c r="ET8" s="34" t="e">
        <f>AND(#REF!,"AAAAAHK+cpU=")</f>
        <v>#REF!</v>
      </c>
      <c r="EU8" s="34" t="e">
        <f>AND(#REF!,"AAAAAHK+cpY=")</f>
        <v>#REF!</v>
      </c>
      <c r="EV8" s="34" t="e">
        <f>AND(#REF!,"AAAAAHK+cpc=")</f>
        <v>#REF!</v>
      </c>
      <c r="EW8" s="34" t="e">
        <f>AND(#REF!,"AAAAAHK+cpg=")</f>
        <v>#REF!</v>
      </c>
      <c r="EX8" s="34" t="e">
        <f>AND(#REF!,"AAAAAHK+cpk=")</f>
        <v>#REF!</v>
      </c>
      <c r="EY8" s="34" t="e">
        <f>AND(#REF!,"AAAAAHK+cpo=")</f>
        <v>#REF!</v>
      </c>
      <c r="EZ8" s="34" t="e">
        <f>AND(#REF!,"AAAAAHK+cps=")</f>
        <v>#REF!</v>
      </c>
      <c r="FA8" s="34" t="e">
        <f>AND(#REF!,"AAAAAHK+cpw=")</f>
        <v>#REF!</v>
      </c>
      <c r="FB8" s="34" t="e">
        <f>AND(#REF!,"AAAAAHK+cp0=")</f>
        <v>#REF!</v>
      </c>
      <c r="FC8" s="34" t="e">
        <f>AND(#REF!,"AAAAAHK+cp4=")</f>
        <v>#REF!</v>
      </c>
      <c r="FD8" s="34" t="e">
        <f>AND(#REF!,"AAAAAHK+cp8=")</f>
        <v>#REF!</v>
      </c>
      <c r="FE8" s="34" t="e">
        <f>AND(#REF!,"AAAAAHK+cqA=")</f>
        <v>#REF!</v>
      </c>
      <c r="FF8" s="34" t="e">
        <f>AND(#REF!,"AAAAAHK+cqE=")</f>
        <v>#REF!</v>
      </c>
      <c r="FG8" s="34" t="e">
        <f>AND(#REF!,"AAAAAHK+cqI=")</f>
        <v>#REF!</v>
      </c>
      <c r="FH8" s="34" t="e">
        <f>AND(#REF!,"AAAAAHK+cqM=")</f>
        <v>#REF!</v>
      </c>
      <c r="FI8" s="34" t="e">
        <f>AND(#REF!,"AAAAAHK+cqQ=")</f>
        <v>#REF!</v>
      </c>
      <c r="FJ8" s="34" t="e">
        <f>AND(#REF!,"AAAAAHK+cqU=")</f>
        <v>#REF!</v>
      </c>
      <c r="FK8" s="34" t="e">
        <f>AND(#REF!,"AAAAAHK+cqY=")</f>
        <v>#REF!</v>
      </c>
      <c r="FL8" s="34" t="e">
        <f>AND(#REF!,"AAAAAHK+cqc=")</f>
        <v>#REF!</v>
      </c>
      <c r="FM8" s="34" t="e">
        <f>AND(#REF!,"AAAAAHK+cqg=")</f>
        <v>#REF!</v>
      </c>
      <c r="FN8" s="34" t="e">
        <f>AND(#REF!,"AAAAAHK+cqk=")</f>
        <v>#REF!</v>
      </c>
      <c r="FO8" s="34" t="e">
        <f>AND(#REF!,"AAAAAHK+cqo=")</f>
        <v>#REF!</v>
      </c>
      <c r="FP8" s="34" t="e">
        <f>AND(#REF!,"AAAAAHK+cqs=")</f>
        <v>#REF!</v>
      </c>
      <c r="FQ8" s="34" t="e">
        <f>IF(#REF!,"AAAAAHK+cqw=",0)</f>
        <v>#REF!</v>
      </c>
      <c r="FR8" s="34" t="e">
        <f>AND(#REF!,"AAAAAHK+cq0=")</f>
        <v>#REF!</v>
      </c>
      <c r="FS8" s="34" t="e">
        <f>AND(#REF!,"AAAAAHK+cq4=")</f>
        <v>#REF!</v>
      </c>
      <c r="FT8" s="34" t="e">
        <f>AND(#REF!,"AAAAAHK+cq8=")</f>
        <v>#REF!</v>
      </c>
      <c r="FU8" s="34" t="e">
        <f>AND(#REF!,"AAAAAHK+crA=")</f>
        <v>#REF!</v>
      </c>
      <c r="FV8" s="34" t="e">
        <f>AND(#REF!,"AAAAAHK+crE=")</f>
        <v>#REF!</v>
      </c>
      <c r="FW8" s="34" t="e">
        <f>AND(#REF!,"AAAAAHK+crI=")</f>
        <v>#REF!</v>
      </c>
      <c r="FX8" s="34" t="e">
        <f>AND(#REF!,"AAAAAHK+crM=")</f>
        <v>#REF!</v>
      </c>
      <c r="FY8" s="34" t="e">
        <f>AND(#REF!,"AAAAAHK+crQ=")</f>
        <v>#REF!</v>
      </c>
      <c r="FZ8" s="34" t="e">
        <f>AND(#REF!,"AAAAAHK+crU=")</f>
        <v>#REF!</v>
      </c>
      <c r="GA8" s="34" t="e">
        <f>AND(#REF!,"AAAAAHK+crY=")</f>
        <v>#REF!</v>
      </c>
      <c r="GB8" s="34" t="e">
        <f>AND(#REF!,"AAAAAHK+crc=")</f>
        <v>#REF!</v>
      </c>
      <c r="GC8" s="34" t="e">
        <f>AND(#REF!,"AAAAAHK+crg=")</f>
        <v>#REF!</v>
      </c>
      <c r="GD8" s="34" t="e">
        <f>AND(#REF!,"AAAAAHK+crk=")</f>
        <v>#REF!</v>
      </c>
      <c r="GE8" s="34" t="e">
        <f>AND(#REF!,"AAAAAHK+cro=")</f>
        <v>#REF!</v>
      </c>
      <c r="GF8" s="34" t="e">
        <f>AND(#REF!,"AAAAAHK+crs=")</f>
        <v>#REF!</v>
      </c>
      <c r="GG8" s="34" t="e">
        <f>AND(#REF!,"AAAAAHK+crw=")</f>
        <v>#REF!</v>
      </c>
      <c r="GH8" s="34" t="e">
        <f>AND(#REF!,"AAAAAHK+cr0=")</f>
        <v>#REF!</v>
      </c>
      <c r="GI8" s="34" t="e">
        <f>AND(#REF!,"AAAAAHK+cr4=")</f>
        <v>#REF!</v>
      </c>
      <c r="GJ8" s="34" t="e">
        <f>AND(#REF!,"AAAAAHK+cr8=")</f>
        <v>#REF!</v>
      </c>
      <c r="GK8" s="34" t="e">
        <f>AND(#REF!,"AAAAAHK+csA=")</f>
        <v>#REF!</v>
      </c>
      <c r="GL8" s="34" t="e">
        <f>AND(#REF!,"AAAAAHK+csE=")</f>
        <v>#REF!</v>
      </c>
      <c r="GM8" s="34" t="e">
        <f>AND(#REF!,"AAAAAHK+csI=")</f>
        <v>#REF!</v>
      </c>
      <c r="GN8" s="34" t="e">
        <f>AND(#REF!,"AAAAAHK+csM=")</f>
        <v>#REF!</v>
      </c>
      <c r="GO8" s="34" t="e">
        <f>AND(#REF!,"AAAAAHK+csQ=")</f>
        <v>#REF!</v>
      </c>
      <c r="GP8" s="34" t="e">
        <f>AND(#REF!,"AAAAAHK+csU=")</f>
        <v>#REF!</v>
      </c>
      <c r="GQ8" s="34" t="e">
        <f>AND(#REF!,"AAAAAHK+csY=")</f>
        <v>#REF!</v>
      </c>
      <c r="GR8" s="34" t="e">
        <f>AND(#REF!,"AAAAAHK+csc=")</f>
        <v>#REF!</v>
      </c>
      <c r="GS8" s="34" t="e">
        <f>AND(#REF!,"AAAAAHK+csg=")</f>
        <v>#REF!</v>
      </c>
      <c r="GT8" s="34" t="e">
        <f>AND(#REF!,"AAAAAHK+csk=")</f>
        <v>#REF!</v>
      </c>
      <c r="GU8" s="34" t="e">
        <f>AND(#REF!,"AAAAAHK+cso=")</f>
        <v>#REF!</v>
      </c>
      <c r="GV8" s="34" t="e">
        <f>AND(#REF!,"AAAAAHK+css=")</f>
        <v>#REF!</v>
      </c>
      <c r="GW8" s="34" t="e">
        <f>AND(#REF!,"AAAAAHK+csw=")</f>
        <v>#REF!</v>
      </c>
      <c r="GX8" s="34" t="e">
        <f>AND(#REF!,"AAAAAHK+cs0=")</f>
        <v>#REF!</v>
      </c>
      <c r="GY8" s="34" t="e">
        <f>AND(#REF!,"AAAAAHK+cs4=")</f>
        <v>#REF!</v>
      </c>
      <c r="GZ8" s="34" t="e">
        <f>AND(#REF!,"AAAAAHK+cs8=")</f>
        <v>#REF!</v>
      </c>
      <c r="HA8" s="34" t="e">
        <f>AND(#REF!,"AAAAAHK+ctA=")</f>
        <v>#REF!</v>
      </c>
      <c r="HB8" s="34" t="e">
        <f>AND(#REF!,"AAAAAHK+ctE=")</f>
        <v>#REF!</v>
      </c>
      <c r="HC8" s="34" t="e">
        <f>AND(#REF!,"AAAAAHK+ctI=")</f>
        <v>#REF!</v>
      </c>
      <c r="HD8" s="34" t="e">
        <f>AND(#REF!,"AAAAAHK+ctM=")</f>
        <v>#REF!</v>
      </c>
      <c r="HE8" s="34" t="e">
        <f>AND(#REF!,"AAAAAHK+ctQ=")</f>
        <v>#REF!</v>
      </c>
      <c r="HF8" s="34" t="e">
        <f>AND(#REF!,"AAAAAHK+ctU=")</f>
        <v>#REF!</v>
      </c>
      <c r="HG8" s="34" t="e">
        <f>AND(#REF!,"AAAAAHK+ctY=")</f>
        <v>#REF!</v>
      </c>
      <c r="HH8" s="34" t="e">
        <f>AND(#REF!,"AAAAAHK+ctc=")</f>
        <v>#REF!</v>
      </c>
      <c r="HI8" s="34" t="e">
        <f>AND(#REF!,"AAAAAHK+ctg=")</f>
        <v>#REF!</v>
      </c>
      <c r="HJ8" s="34" t="e">
        <f>AND(#REF!,"AAAAAHK+ctk=")</f>
        <v>#REF!</v>
      </c>
      <c r="HK8" s="34" t="e">
        <f>IF(#REF!,"AAAAAHK+cto=",0)</f>
        <v>#REF!</v>
      </c>
      <c r="HL8" s="34" t="e">
        <f>AND(#REF!,"AAAAAHK+cts=")</f>
        <v>#REF!</v>
      </c>
      <c r="HM8" s="34" t="e">
        <f>AND(#REF!,"AAAAAHK+ctw=")</f>
        <v>#REF!</v>
      </c>
      <c r="HN8" s="34" t="e">
        <f>AND(#REF!,"AAAAAHK+ct0=")</f>
        <v>#REF!</v>
      </c>
      <c r="HO8" s="34" t="e">
        <f>AND(#REF!,"AAAAAHK+ct4=")</f>
        <v>#REF!</v>
      </c>
      <c r="HP8" s="34" t="e">
        <f>AND(#REF!,"AAAAAHK+ct8=")</f>
        <v>#REF!</v>
      </c>
      <c r="HQ8" s="34" t="e">
        <f>AND(#REF!,"AAAAAHK+cuA=")</f>
        <v>#REF!</v>
      </c>
      <c r="HR8" s="34" t="e">
        <f>AND(#REF!,"AAAAAHK+cuE=")</f>
        <v>#REF!</v>
      </c>
      <c r="HS8" s="34" t="e">
        <f>AND(#REF!,"AAAAAHK+cuI=")</f>
        <v>#REF!</v>
      </c>
      <c r="HT8" s="34" t="e">
        <f>AND(#REF!,"AAAAAHK+cuM=")</f>
        <v>#REF!</v>
      </c>
      <c r="HU8" s="34" t="e">
        <f>AND(#REF!,"AAAAAHK+cuQ=")</f>
        <v>#REF!</v>
      </c>
      <c r="HV8" s="34" t="e">
        <f>AND(#REF!,"AAAAAHK+cuU=")</f>
        <v>#REF!</v>
      </c>
      <c r="HW8" s="34" t="e">
        <f>AND(#REF!,"AAAAAHK+cuY=")</f>
        <v>#REF!</v>
      </c>
      <c r="HX8" s="34" t="e">
        <f>AND(#REF!,"AAAAAHK+cuc=")</f>
        <v>#REF!</v>
      </c>
      <c r="HY8" s="34" t="e">
        <f>AND(#REF!,"AAAAAHK+cug=")</f>
        <v>#REF!</v>
      </c>
      <c r="HZ8" s="34" t="e">
        <f>AND(#REF!,"AAAAAHK+cuk=")</f>
        <v>#REF!</v>
      </c>
      <c r="IA8" s="34" t="e">
        <f>AND(#REF!,"AAAAAHK+cuo=")</f>
        <v>#REF!</v>
      </c>
      <c r="IB8" s="34" t="e">
        <f>AND(#REF!,"AAAAAHK+cus=")</f>
        <v>#REF!</v>
      </c>
      <c r="IC8" s="34" t="e">
        <f>AND(#REF!,"AAAAAHK+cuw=")</f>
        <v>#REF!</v>
      </c>
      <c r="ID8" s="34" t="e">
        <f>AND(#REF!,"AAAAAHK+cu0=")</f>
        <v>#REF!</v>
      </c>
      <c r="IE8" s="34" t="e">
        <f>AND(#REF!,"AAAAAHK+cu4=")</f>
        <v>#REF!</v>
      </c>
      <c r="IF8" s="34" t="e">
        <f>AND(#REF!,"AAAAAHK+cu8=")</f>
        <v>#REF!</v>
      </c>
      <c r="IG8" s="34" t="e">
        <f>AND(#REF!,"AAAAAHK+cvA=")</f>
        <v>#REF!</v>
      </c>
      <c r="IH8" s="34" t="e">
        <f>AND(#REF!,"AAAAAHK+cvE=")</f>
        <v>#REF!</v>
      </c>
      <c r="II8" s="34" t="e">
        <f>AND(#REF!,"AAAAAHK+cvI=")</f>
        <v>#REF!</v>
      </c>
      <c r="IJ8" s="34" t="e">
        <f>AND(#REF!,"AAAAAHK+cvM=")</f>
        <v>#REF!</v>
      </c>
      <c r="IK8" s="34" t="e">
        <f>AND(#REF!,"AAAAAHK+cvQ=")</f>
        <v>#REF!</v>
      </c>
      <c r="IL8" s="34" t="e">
        <f>AND(#REF!,"AAAAAHK+cvU=")</f>
        <v>#REF!</v>
      </c>
      <c r="IM8" s="34" t="e">
        <f>AND(#REF!,"AAAAAHK+cvY=")</f>
        <v>#REF!</v>
      </c>
      <c r="IN8" s="34" t="e">
        <f>AND(#REF!,"AAAAAHK+cvc=")</f>
        <v>#REF!</v>
      </c>
      <c r="IO8" s="34" t="e">
        <f>AND(#REF!,"AAAAAHK+cvg=")</f>
        <v>#REF!</v>
      </c>
      <c r="IP8" s="34" t="e">
        <f>AND(#REF!,"AAAAAHK+cvk=")</f>
        <v>#REF!</v>
      </c>
      <c r="IQ8" s="34" t="e">
        <f>AND(#REF!,"AAAAAHK+cvo=")</f>
        <v>#REF!</v>
      </c>
      <c r="IR8" s="34" t="e">
        <f>AND(#REF!,"AAAAAHK+cvs=")</f>
        <v>#REF!</v>
      </c>
      <c r="IS8" s="34" t="e">
        <f>AND(#REF!,"AAAAAHK+cvw=")</f>
        <v>#REF!</v>
      </c>
      <c r="IT8" s="34" t="e">
        <f>AND(#REF!,"AAAAAHK+cv0=")</f>
        <v>#REF!</v>
      </c>
      <c r="IU8" s="34" t="e">
        <f>AND(#REF!,"AAAAAHK+cv4=")</f>
        <v>#REF!</v>
      </c>
      <c r="IV8" s="34" t="e">
        <f>AND(#REF!,"AAAAAHK+cv8=")</f>
        <v>#REF!</v>
      </c>
    </row>
    <row r="9" spans="1:256" ht="12.75" customHeight="1" x14ac:dyDescent="0.2">
      <c r="A9" s="34" t="e">
        <f>AND(#REF!,"AAAAADv7vAA=")</f>
        <v>#REF!</v>
      </c>
      <c r="B9" s="34" t="e">
        <f>AND(#REF!,"AAAAADv7vAE=")</f>
        <v>#REF!</v>
      </c>
      <c r="C9" s="34" t="e">
        <f>AND(#REF!,"AAAAADv7vAI=")</f>
        <v>#REF!</v>
      </c>
      <c r="D9" s="34" t="e">
        <f>AND(#REF!,"AAAAADv7vAM=")</f>
        <v>#REF!</v>
      </c>
      <c r="E9" s="34" t="e">
        <f>AND(#REF!,"AAAAADv7vAQ=")</f>
        <v>#REF!</v>
      </c>
      <c r="F9" s="34" t="e">
        <f>AND(#REF!,"AAAAADv7vAU=")</f>
        <v>#REF!</v>
      </c>
      <c r="G9" s="34" t="e">
        <f>AND(#REF!,"AAAAADv7vAY=")</f>
        <v>#REF!</v>
      </c>
      <c r="H9" s="34" t="e">
        <f>AND(#REF!,"AAAAADv7vAc=")</f>
        <v>#REF!</v>
      </c>
      <c r="I9" s="34" t="e">
        <f>IF(#REF!,"AAAAADv7vAg=",0)</f>
        <v>#REF!</v>
      </c>
      <c r="J9" s="34" t="e">
        <f>AND(#REF!,"AAAAADv7vAk=")</f>
        <v>#REF!</v>
      </c>
      <c r="K9" s="34" t="e">
        <f>AND(#REF!,"AAAAADv7vAo=")</f>
        <v>#REF!</v>
      </c>
      <c r="L9" s="34" t="e">
        <f>AND(#REF!,"AAAAADv7vAs=")</f>
        <v>#REF!</v>
      </c>
      <c r="M9" s="34" t="e">
        <f>AND(#REF!,"AAAAADv7vAw=")</f>
        <v>#REF!</v>
      </c>
      <c r="N9" s="34" t="e">
        <f>AND(#REF!,"AAAAADv7vA0=")</f>
        <v>#REF!</v>
      </c>
      <c r="O9" s="34" t="e">
        <f>AND(#REF!,"AAAAADv7vA4=")</f>
        <v>#REF!</v>
      </c>
      <c r="P9" s="34" t="e">
        <f>AND(#REF!,"AAAAADv7vA8=")</f>
        <v>#REF!</v>
      </c>
      <c r="Q9" s="34" t="e">
        <f>AND(#REF!,"AAAAADv7vBA=")</f>
        <v>#REF!</v>
      </c>
      <c r="R9" s="34" t="e">
        <f>AND(#REF!,"AAAAADv7vBE=")</f>
        <v>#REF!</v>
      </c>
      <c r="S9" s="34" t="e">
        <f>AND(#REF!,"AAAAADv7vBI=")</f>
        <v>#REF!</v>
      </c>
      <c r="T9" s="34" t="e">
        <f>AND(#REF!,"AAAAADv7vBM=")</f>
        <v>#REF!</v>
      </c>
      <c r="U9" s="34" t="e">
        <f>AND(#REF!,"AAAAADv7vBQ=")</f>
        <v>#REF!</v>
      </c>
      <c r="V9" s="34" t="e">
        <f>AND(#REF!,"AAAAADv7vBU=")</f>
        <v>#REF!</v>
      </c>
      <c r="W9" s="34" t="e">
        <f>AND(#REF!,"AAAAADv7vBY=")</f>
        <v>#REF!</v>
      </c>
      <c r="X9" s="34" t="e">
        <f>AND(#REF!,"AAAAADv7vBc=")</f>
        <v>#REF!</v>
      </c>
      <c r="Y9" s="34" t="e">
        <f>AND(#REF!,"AAAAADv7vBg=")</f>
        <v>#REF!</v>
      </c>
      <c r="Z9" s="34" t="e">
        <f>AND(#REF!,"AAAAADv7vBk=")</f>
        <v>#REF!</v>
      </c>
      <c r="AA9" s="34" t="e">
        <f>AND(#REF!,"AAAAADv7vBo=")</f>
        <v>#REF!</v>
      </c>
      <c r="AB9" s="34" t="e">
        <f>AND(#REF!,"AAAAADv7vBs=")</f>
        <v>#REF!</v>
      </c>
      <c r="AC9" s="34" t="e">
        <f>AND(#REF!,"AAAAADv7vBw=")</f>
        <v>#REF!</v>
      </c>
      <c r="AD9" s="34" t="e">
        <f>AND(#REF!,"AAAAADv7vB0=")</f>
        <v>#REF!</v>
      </c>
      <c r="AE9" s="34" t="e">
        <f>AND(#REF!,"AAAAADv7vB4=")</f>
        <v>#REF!</v>
      </c>
      <c r="AF9" s="34" t="e">
        <f>AND(#REF!,"AAAAADv7vB8=")</f>
        <v>#REF!</v>
      </c>
      <c r="AG9" s="34" t="e">
        <f>AND(#REF!,"AAAAADv7vCA=")</f>
        <v>#REF!</v>
      </c>
      <c r="AH9" s="34" t="e">
        <f>AND(#REF!,"AAAAADv7vCE=")</f>
        <v>#REF!</v>
      </c>
      <c r="AI9" s="34" t="e">
        <f>AND(#REF!,"AAAAADv7vCI=")</f>
        <v>#REF!</v>
      </c>
      <c r="AJ9" s="34" t="e">
        <f>AND(#REF!,"AAAAADv7vCM=")</f>
        <v>#REF!</v>
      </c>
      <c r="AK9" s="34" t="e">
        <f>AND(#REF!,"AAAAADv7vCQ=")</f>
        <v>#REF!</v>
      </c>
      <c r="AL9" s="34" t="e">
        <f>AND(#REF!,"AAAAADv7vCU=")</f>
        <v>#REF!</v>
      </c>
      <c r="AM9" s="34" t="e">
        <f>AND(#REF!,"AAAAADv7vCY=")</f>
        <v>#REF!</v>
      </c>
      <c r="AN9" s="34" t="e">
        <f>AND(#REF!,"AAAAADv7vCc=")</f>
        <v>#REF!</v>
      </c>
      <c r="AO9" s="34" t="e">
        <f>AND(#REF!,"AAAAADv7vCg=")</f>
        <v>#REF!</v>
      </c>
      <c r="AP9" s="34" t="e">
        <f>AND(#REF!,"AAAAADv7vCk=")</f>
        <v>#REF!</v>
      </c>
      <c r="AQ9" s="34" t="e">
        <f>AND(#REF!,"AAAAADv7vCo=")</f>
        <v>#REF!</v>
      </c>
      <c r="AR9" s="34" t="e">
        <f>AND(#REF!,"AAAAADv7vCs=")</f>
        <v>#REF!</v>
      </c>
      <c r="AS9" s="34" t="e">
        <f>AND(#REF!,"AAAAADv7vCw=")</f>
        <v>#REF!</v>
      </c>
      <c r="AT9" s="34" t="e">
        <f>AND(#REF!,"AAAAADv7vC0=")</f>
        <v>#REF!</v>
      </c>
      <c r="AU9" s="34" t="e">
        <f>AND(#REF!,"AAAAADv7vC4=")</f>
        <v>#REF!</v>
      </c>
      <c r="AV9" s="34" t="e">
        <f>AND(#REF!,"AAAAADv7vC8=")</f>
        <v>#REF!</v>
      </c>
      <c r="AW9" s="34" t="e">
        <f>AND(#REF!,"AAAAADv7vDA=")</f>
        <v>#REF!</v>
      </c>
      <c r="AX9" s="34" t="e">
        <f>AND(#REF!,"AAAAADv7vDE=")</f>
        <v>#REF!</v>
      </c>
      <c r="AY9" s="34" t="e">
        <f>AND(#REF!,"AAAAADv7vDI=")</f>
        <v>#REF!</v>
      </c>
      <c r="AZ9" s="34" t="e">
        <f>AND(#REF!,"AAAAADv7vDM=")</f>
        <v>#REF!</v>
      </c>
      <c r="BA9" s="34" t="e">
        <f>AND(#REF!,"AAAAADv7vDQ=")</f>
        <v>#REF!</v>
      </c>
      <c r="BB9" s="34" t="e">
        <f>AND(#REF!,"AAAAADv7vDU=")</f>
        <v>#REF!</v>
      </c>
      <c r="BC9" s="34" t="e">
        <f>IF(#REF!,"AAAAADv7vDY=",0)</f>
        <v>#REF!</v>
      </c>
      <c r="BD9" s="34" t="e">
        <f>IF(#REF!,"AAAAADv7vDc=",0)</f>
        <v>#REF!</v>
      </c>
      <c r="BE9" s="34" t="e">
        <f>IF(#REF!,"AAAAADv7vDg=",0)</f>
        <v>#REF!</v>
      </c>
      <c r="BF9" s="34" t="e">
        <f>IF(#REF!,"AAAAADv7vDk=",0)</f>
        <v>#REF!</v>
      </c>
      <c r="BG9" s="34" t="e">
        <f>IF(#REF!,"AAAAADv7vDo=",0)</f>
        <v>#REF!</v>
      </c>
      <c r="BH9" s="34" t="e">
        <f>IF(#REF!,"AAAAADv7vDs=",0)</f>
        <v>#REF!</v>
      </c>
      <c r="BI9" s="34" t="e">
        <f>IF(#REF!,"AAAAADv7vDw=",0)</f>
        <v>#REF!</v>
      </c>
      <c r="BJ9" s="34" t="e">
        <f>IF(#REF!,"AAAAADv7vD0=",0)</f>
        <v>#REF!</v>
      </c>
      <c r="BK9" s="34" t="e">
        <f>IF(#REF!,"AAAAADv7vD4=",0)</f>
        <v>#REF!</v>
      </c>
      <c r="BL9" s="34" t="e">
        <f>IF(#REF!,"AAAAADv7vD8=",0)</f>
        <v>#REF!</v>
      </c>
      <c r="BM9" s="34" t="e">
        <f>IF(#REF!,"AAAAADv7vEA=",0)</f>
        <v>#REF!</v>
      </c>
      <c r="BN9" s="34" t="e">
        <f>IF(#REF!,"AAAAADv7vEE=",0)</f>
        <v>#REF!</v>
      </c>
      <c r="BO9" s="34" t="e">
        <f>IF(#REF!,"AAAAADv7vEI=",0)</f>
        <v>#REF!</v>
      </c>
      <c r="BP9" s="34" t="e">
        <f>IF(#REF!,"AAAAADv7vEM=",0)</f>
        <v>#REF!</v>
      </c>
      <c r="BQ9" s="34" t="e">
        <f>IF(#REF!,"AAAAADv7vEQ=",0)</f>
        <v>#REF!</v>
      </c>
      <c r="BR9" s="34" t="e">
        <f>IF(#REF!,"AAAAADv7vEU=",0)</f>
        <v>#REF!</v>
      </c>
      <c r="BS9" s="34" t="e">
        <f>IF(#REF!,"AAAAADv7vEY=",0)</f>
        <v>#REF!</v>
      </c>
      <c r="BT9" s="34" t="e">
        <f>IF(#REF!,"AAAAADv7vEc=",0)</f>
        <v>#REF!</v>
      </c>
      <c r="BU9" s="34" t="e">
        <f>IF(#REF!,"AAAAADv7vEg=",0)</f>
        <v>#REF!</v>
      </c>
      <c r="BV9" s="34" t="e">
        <f>IF(#REF!,"AAAAADv7vEk=",0)</f>
        <v>#REF!</v>
      </c>
      <c r="BW9" s="34" t="e">
        <f>IF(#REF!,"AAAAADv7vEo=",0)</f>
        <v>#REF!</v>
      </c>
      <c r="BX9" s="34" t="e">
        <f>IF(#REF!,"AAAAADv7vEs=",0)</f>
        <v>#REF!</v>
      </c>
      <c r="BY9" s="34" t="e">
        <f>IF(#REF!,"AAAAADv7vEw=",0)</f>
        <v>#REF!</v>
      </c>
      <c r="BZ9" s="34" t="e">
        <f>IF(#REF!,"AAAAADv7vE0=",0)</f>
        <v>#REF!</v>
      </c>
      <c r="CA9" s="34" t="e">
        <f>IF(#REF!,"AAAAADv7vE4=",0)</f>
        <v>#REF!</v>
      </c>
      <c r="CB9" s="34" t="e">
        <f>IF(#REF!,"AAAAADv7vE8=",0)</f>
        <v>#REF!</v>
      </c>
      <c r="CC9" s="34" t="e">
        <f>IF(#REF!,"AAAAADv7vFA=",0)</f>
        <v>#REF!</v>
      </c>
      <c r="CD9" s="34" t="e">
        <f>IF(#REF!,"AAAAADv7vFE=",0)</f>
        <v>#REF!</v>
      </c>
      <c r="CE9" s="34" t="e">
        <f>IF(#REF!,"AAAAADv7vFI=",0)</f>
        <v>#REF!</v>
      </c>
      <c r="CF9" s="34" t="e">
        <f>IF(#REF!,"AAAAADv7vFM=",0)</f>
        <v>#REF!</v>
      </c>
      <c r="CG9" s="34" t="e">
        <f>IF(#REF!,"AAAAADv7vFQ=",0)</f>
        <v>#REF!</v>
      </c>
      <c r="CH9" s="34" t="e">
        <f>IF(#REF!,"AAAAADv7vFU=",0)</f>
        <v>#REF!</v>
      </c>
      <c r="CI9" s="34" t="e">
        <f>IF(#REF!,"AAAAADv7vFY=",0)</f>
        <v>#REF!</v>
      </c>
      <c r="CJ9" s="34" t="e">
        <f>IF(#REF!,"AAAAADv7vFc=",0)</f>
        <v>#REF!</v>
      </c>
      <c r="CK9" s="34" t="e">
        <f>IF(#REF!,"AAAAADv7vFg=",0)</f>
        <v>#REF!</v>
      </c>
      <c r="CL9" s="34" t="e">
        <f>IF(#REF!,"AAAAADv7vFk=",0)</f>
        <v>#REF!</v>
      </c>
      <c r="CM9" s="34" t="e">
        <f>IF(#REF!,"AAAAADv7vFo=",0)</f>
        <v>#REF!</v>
      </c>
      <c r="CN9" s="34" t="e">
        <f>IF(#REF!,"AAAAADv7vFs=",0)</f>
        <v>#REF!</v>
      </c>
      <c r="CO9" s="34" t="e">
        <f>IF(#REF!,"AAAAADv7vFw=",0)</f>
        <v>#REF!</v>
      </c>
      <c r="CP9" s="34" t="e">
        <f>IF(#REF!,"AAAAADv7vF0=",0)</f>
        <v>#REF!</v>
      </c>
      <c r="CQ9" s="34" t="e">
        <f>IF(#REF!,"AAAAADv7vF4=",0)</f>
        <v>#REF!</v>
      </c>
      <c r="CR9" s="34" t="e">
        <f>IF(#REF!,"AAAAADv7vF8=",0)</f>
        <v>#REF!</v>
      </c>
      <c r="CS9" s="34" t="e">
        <f>IF(#REF!,"AAAAADv7vGA=",0)</f>
        <v>#REF!</v>
      </c>
      <c r="CT9" s="34" t="e">
        <f>IF(#REF!,"AAAAADv7vGE=",0)</f>
        <v>#REF!</v>
      </c>
      <c r="CU9" s="34" t="e">
        <f>IF(#REF!,"AAAAADv7vGI=",0)</f>
        <v>#REF!</v>
      </c>
      <c r="CV9" s="34" t="e">
        <f>IF(#REF!,"AAAAADv7vGM=",0)</f>
        <v>#REF!</v>
      </c>
      <c r="CW9" s="34" t="e">
        <f>IF(#REF!,"AAAAADv7vGQ=",0)</f>
        <v>#REF!</v>
      </c>
      <c r="CX9" s="34" t="e">
        <f>IF(#REF!,"AAAAADv7vGU=",0)</f>
        <v>#REF!</v>
      </c>
      <c r="CY9" s="34" t="e">
        <f>IF(#REF!,"AAAAADv7vGY=",0)</f>
        <v>#REF!</v>
      </c>
      <c r="CZ9" s="34" t="e">
        <f>IF(#REF!,"AAAAADv7vGc=",0)</f>
        <v>#REF!</v>
      </c>
      <c r="DA9" s="34" t="e">
        <f>IF(#REF!,"AAAAADv7vGg=",0)</f>
        <v>#REF!</v>
      </c>
      <c r="DB9" s="34" t="e">
        <f>IF(#REF!,"AAAAADv7vGk=",0)</f>
        <v>#REF!</v>
      </c>
      <c r="DC9" s="34" t="e">
        <f>IF(#REF!,"AAAAADv7vGo=",0)</f>
        <v>#REF!</v>
      </c>
      <c r="DD9" s="34" t="e">
        <f>IF(#REF!,"AAAAADv7vGs=",0)</f>
        <v>#REF!</v>
      </c>
      <c r="DE9" s="34" t="e">
        <f>IF(#REF!,"AAAAADv7vGw=",0)</f>
        <v>#REF!</v>
      </c>
      <c r="DF9" s="34" t="e">
        <f>IF(#REF!,"AAAAADv7vG0=",0)</f>
        <v>#REF!</v>
      </c>
      <c r="DG9" s="34" t="e">
        <f>IF(#REF!,"AAAAADv7vG4=",0)</f>
        <v>#REF!</v>
      </c>
      <c r="DH9" s="34" t="e">
        <f>IF(#REF!,"AAAAADv7vG8=",0)</f>
        <v>#REF!</v>
      </c>
      <c r="DI9" s="34" t="e">
        <f>IF(#REF!,"AAAAADv7vHA=",0)</f>
        <v>#REF!</v>
      </c>
      <c r="DJ9" s="34" t="e">
        <f>IF(#REF!,"AAAAADv7vHE=",0)</f>
        <v>#REF!</v>
      </c>
      <c r="DK9" s="34" t="e">
        <f>IF(#REF!,"AAAAADv7vHI=",0)</f>
        <v>#REF!</v>
      </c>
      <c r="DL9" s="34" t="e">
        <f>IF(#REF!,"AAAAADv7vHM=",0)</f>
        <v>#REF!</v>
      </c>
      <c r="DM9" s="34" t="e">
        <f>IF(#REF!,"AAAAADv7vHQ=",0)</f>
        <v>#REF!</v>
      </c>
      <c r="DN9" s="34" t="e">
        <f>IF(#REF!,"AAAAADv7vHU=",0)</f>
        <v>#REF!</v>
      </c>
      <c r="DO9" s="34" t="e">
        <f>IF(#REF!,"AAAAADv7vHY=",0)</f>
        <v>#REF!</v>
      </c>
      <c r="DP9" s="34" t="e">
        <f>IF(#REF!,"AAAAADv7vHc=",0)</f>
        <v>#REF!</v>
      </c>
      <c r="DQ9" s="34" t="e">
        <f>IF(#REF!,"AAAAADv7vHg=",0)</f>
        <v>#REF!</v>
      </c>
      <c r="DR9" s="34" t="e">
        <f>IF(#REF!,"AAAAADv7vHk=",0)</f>
        <v>#REF!</v>
      </c>
      <c r="DS9" s="34" t="e">
        <f>IF(#REF!,"AAAAADv7vHo=",0)</f>
        <v>#REF!</v>
      </c>
      <c r="DT9" s="34" t="e">
        <f>IF(#REF!,"AAAAADv7vHs=",0)</f>
        <v>#REF!</v>
      </c>
      <c r="DU9" s="34" t="e">
        <f>IF(#REF!,"AAAAADv7vHw=",0)</f>
        <v>#REF!</v>
      </c>
      <c r="DV9" s="34" t="e">
        <f>IF(#REF!,"AAAAADv7vH0=",0)</f>
        <v>#REF!</v>
      </c>
      <c r="DW9" s="34" t="e">
        <f>IF(#REF!,"AAAAADv7vH4=",0)</f>
        <v>#REF!</v>
      </c>
      <c r="DX9" s="34" t="e">
        <f>IF(#REF!,"AAAAADv7vH8=",0)</f>
        <v>#REF!</v>
      </c>
      <c r="DY9" s="34" t="e">
        <f>IF(#REF!,"AAAAADv7vIA=",0)</f>
        <v>#REF!</v>
      </c>
      <c r="DZ9" s="34" t="e">
        <f>IF(#REF!,"AAAAADv7vIE=",0)</f>
        <v>#REF!</v>
      </c>
      <c r="EA9" s="34" t="e">
        <f>IF(#REF!,"AAAAADv7vII=",0)</f>
        <v>#REF!</v>
      </c>
      <c r="EB9" s="34" t="e">
        <f>IF(#REF!,"AAAAADv7vIM=",0)</f>
        <v>#REF!</v>
      </c>
      <c r="EC9" s="34" t="e">
        <f>IF(#REF!,"AAAAADv7vIQ=",0)</f>
        <v>#REF!</v>
      </c>
      <c r="ED9" s="34" t="e">
        <f>IF(#REF!,"AAAAADv7vIU=",0)</f>
        <v>#REF!</v>
      </c>
      <c r="EE9" s="34" t="e">
        <f>IF(#REF!,"AAAAADv7vIY=",0)</f>
        <v>#REF!</v>
      </c>
      <c r="EF9" s="34" t="e">
        <f>IF(#REF!,"AAAAADv7vIc=",0)</f>
        <v>#REF!</v>
      </c>
      <c r="EG9" s="34" t="e">
        <f>IF(#REF!,"AAAAADv7vIg=",0)</f>
        <v>#REF!</v>
      </c>
      <c r="EH9" s="34" t="e">
        <f>IF(#REF!,"AAAAADv7vIk=",0)</f>
        <v>#REF!</v>
      </c>
      <c r="EI9" s="34" t="e">
        <f>IF(#REF!,"AAAAADv7vIo=",0)</f>
        <v>#REF!</v>
      </c>
      <c r="EJ9" s="34" t="e">
        <f>IF(#REF!,"AAAAADv7vIs=",0)</f>
        <v>#REF!</v>
      </c>
      <c r="EK9" s="34" t="e">
        <f>IF(#REF!,"AAAAADv7vIw=",0)</f>
        <v>#REF!</v>
      </c>
      <c r="EL9" s="34" t="e">
        <f>IF(#REF!,"AAAAADv7vI0=",0)</f>
        <v>#REF!</v>
      </c>
      <c r="EM9" s="34" t="e">
        <f>IF(#REF!,"AAAAADv7vI4=",0)</f>
        <v>#REF!</v>
      </c>
      <c r="EN9" s="34" t="e">
        <f>IF(#REF!,"AAAAADv7vI8=",0)</f>
        <v>#REF!</v>
      </c>
      <c r="EO9" s="34" t="e">
        <f>IF(#REF!,"AAAAADv7vJA=",0)</f>
        <v>#REF!</v>
      </c>
      <c r="EP9" s="34" t="e">
        <f>IF(#REF!,"AAAAADv7vJE=",0)</f>
        <v>#REF!</v>
      </c>
      <c r="EQ9" s="34" t="e">
        <f>IF(#REF!,"AAAAADv7vJI=",0)</f>
        <v>#REF!</v>
      </c>
      <c r="ER9" s="34" t="e">
        <f>IF(#REF!,"AAAAADv7vJM=",0)</f>
        <v>#REF!</v>
      </c>
      <c r="ES9" s="34" t="e">
        <f>IF(#REF!,"AAAAADv7vJQ=",0)</f>
        <v>#REF!</v>
      </c>
      <c r="ET9" s="34" t="e">
        <f>IF(#REF!,"AAAAADv7vJU=",0)</f>
        <v>#REF!</v>
      </c>
      <c r="EU9" s="34" t="e">
        <f>IF(#REF!,"AAAAADv7vJY=",0)</f>
        <v>#REF!</v>
      </c>
      <c r="EV9" s="34" t="e">
        <f>IF(#REF!,"AAAAADv7vJc=",0)</f>
        <v>#REF!</v>
      </c>
      <c r="EW9" s="34" t="e">
        <f>IF(#REF!,"AAAAADv7vJg=",0)</f>
        <v>#REF!</v>
      </c>
      <c r="EX9" s="34" t="e">
        <f>IF(#REF!,"AAAAADv7vJk=",0)</f>
        <v>#REF!</v>
      </c>
      <c r="EY9" s="34" t="e">
        <f>IF(#REF!,"AAAAADv7vJo=",0)</f>
        <v>#REF!</v>
      </c>
      <c r="EZ9" s="34" t="e">
        <f>IF(#REF!,"AAAAADv7vJs=",0)</f>
        <v>#REF!</v>
      </c>
      <c r="FA9" s="34" t="e">
        <f>IF(#REF!,"AAAAADv7vJw=",0)</f>
        <v>#REF!</v>
      </c>
      <c r="FB9" s="34" t="e">
        <f>IF(#REF!,"AAAAADv7vJ0=",0)</f>
        <v>#REF!</v>
      </c>
      <c r="FC9" s="34" t="e">
        <f>IF(#REF!,"AAAAADv7vJ4=",0)</f>
        <v>#REF!</v>
      </c>
      <c r="FD9" s="34" t="e">
        <f>IF(#REF!,"AAAAADv7vJ8=",0)</f>
        <v>#REF!</v>
      </c>
      <c r="FE9" s="34" t="e">
        <f>IF(#REF!,"AAAAADv7vKA=",0)</f>
        <v>#REF!</v>
      </c>
      <c r="FF9" s="34" t="e">
        <f>IF(#REF!,"AAAAADv7vKE=",0)</f>
        <v>#REF!</v>
      </c>
      <c r="FG9" s="34" t="e">
        <f>IF(#REF!,"AAAAADv7vKI=",0)</f>
        <v>#REF!</v>
      </c>
      <c r="FH9" s="34" t="e">
        <f>IF(#REF!,"AAAAADv7vKM=",0)</f>
        <v>#REF!</v>
      </c>
      <c r="FI9" s="34" t="e">
        <f>IF(#REF!,"AAAAADv7vKQ=",0)</f>
        <v>#REF!</v>
      </c>
      <c r="FJ9" s="34" t="e">
        <f>IF(#REF!,"AAAAADv7vKU=",0)</f>
        <v>#REF!</v>
      </c>
      <c r="FK9" s="34" t="e">
        <f>IF(#REF!,"AAAAADv7vKY=",0)</f>
        <v>#REF!</v>
      </c>
      <c r="FL9" s="34" t="e">
        <f>IF(#REF!,"AAAAADv7vKc=",0)</f>
        <v>#REF!</v>
      </c>
      <c r="FM9" s="34" t="e">
        <f>IF(#REF!,"AAAAADv7vKg=",0)</f>
        <v>#REF!</v>
      </c>
      <c r="FN9" s="34" t="e">
        <f>IF(#REF!,"AAAAADv7vKk=",0)</f>
        <v>#REF!</v>
      </c>
      <c r="FO9" s="34" t="e">
        <f>IF(#REF!,"AAAAADv7vKo=",0)</f>
        <v>#REF!</v>
      </c>
      <c r="FP9" s="34" t="e">
        <f>IF(#REF!,"AAAAADv7vKs=",0)</f>
        <v>#REF!</v>
      </c>
      <c r="FQ9" s="34" t="e">
        <f>IF(#REF!,"AAAAADv7vKw=",0)</f>
        <v>#REF!</v>
      </c>
      <c r="FR9" s="34" t="e">
        <f>IF(#REF!,"AAAAADv7vK0=",0)</f>
        <v>#REF!</v>
      </c>
      <c r="FS9" s="34" t="e">
        <f>IF(#REF!,"AAAAADv7vK4=",0)</f>
        <v>#REF!</v>
      </c>
      <c r="FT9" s="34" t="e">
        <f>IF(#REF!,"AAAAADv7vK8=",0)</f>
        <v>#REF!</v>
      </c>
      <c r="FU9" s="34" t="e">
        <f>IF(#REF!,"AAAAADv7vLA=",0)</f>
        <v>#REF!</v>
      </c>
      <c r="FV9" s="34" t="e">
        <f>IF(#REF!,"AAAAADv7vLE=",0)</f>
        <v>#REF!</v>
      </c>
      <c r="FW9" s="34" t="e">
        <f>IF(#REF!,"AAAAADv7vLI=",0)</f>
        <v>#REF!</v>
      </c>
      <c r="FX9" s="34" t="e">
        <f>IF(#REF!,"AAAAADv7vLM=",0)</f>
        <v>#REF!</v>
      </c>
      <c r="FY9" s="34" t="e">
        <f>IF(#REF!,"AAAAADv7vLQ=",0)</f>
        <v>#REF!</v>
      </c>
      <c r="FZ9" s="34" t="e">
        <f>IF(#REF!,"AAAAADv7vLU=",0)</f>
        <v>#REF!</v>
      </c>
      <c r="GA9" s="34" t="e">
        <f>IF(#REF!,"AAAAADv7vLY=",0)</f>
        <v>#REF!</v>
      </c>
      <c r="GB9" s="34" t="e">
        <f>IF(#REF!,"AAAAADv7vLc=",0)</f>
        <v>#REF!</v>
      </c>
      <c r="GC9" s="34" t="e">
        <f>IF(#REF!,"AAAAADv7vLg=",0)</f>
        <v>#REF!</v>
      </c>
      <c r="GD9" s="34" t="e">
        <f>IF(#REF!,"AAAAADv7vLk=",0)</f>
        <v>#REF!</v>
      </c>
      <c r="GE9" s="34" t="e">
        <f>IF(#REF!,"AAAAADv7vLo=",0)</f>
        <v>#REF!</v>
      </c>
      <c r="GF9" s="34" t="e">
        <f>IF(#REF!,"AAAAADv7vLs=",0)</f>
        <v>#REF!</v>
      </c>
      <c r="GG9" s="34" t="e">
        <f>IF(#REF!,"AAAAADv7vLw=",0)</f>
        <v>#REF!</v>
      </c>
      <c r="GH9" s="34" t="e">
        <f>IF(#REF!,"AAAAADv7vL0=",0)</f>
        <v>#REF!</v>
      </c>
      <c r="GI9" s="34" t="e">
        <f>IF(#REF!,"AAAAADv7vL4=",0)</f>
        <v>#REF!</v>
      </c>
      <c r="GJ9" s="34" t="e">
        <f>IF(#REF!,"AAAAADv7vL8=",0)</f>
        <v>#REF!</v>
      </c>
      <c r="GK9" s="34" t="e">
        <f>IF(#REF!,"AAAAADv7vMA=",0)</f>
        <v>#REF!</v>
      </c>
      <c r="GL9" s="34" t="e">
        <f>IF(#REF!,"AAAAADv7vME=",0)</f>
        <v>#REF!</v>
      </c>
      <c r="GM9" s="34" t="e">
        <f>IF(#REF!,"AAAAADv7vMI=",0)</f>
        <v>#REF!</v>
      </c>
      <c r="GN9" s="34" t="e">
        <f>IF(#REF!,"AAAAADv7vMM=",0)</f>
        <v>#REF!</v>
      </c>
      <c r="GO9" s="34" t="e">
        <f>IF(#REF!,"AAAAADv7vMQ=",0)</f>
        <v>#REF!</v>
      </c>
      <c r="GP9" s="34" t="e">
        <f>IF(#REF!,"AAAAADv7vMU=",0)</f>
        <v>#REF!</v>
      </c>
      <c r="GQ9" s="34" t="e">
        <f>IF(#REF!,"AAAAADv7vMY=",0)</f>
        <v>#REF!</v>
      </c>
      <c r="GR9" s="34" t="e">
        <f>IF(#REF!,"AAAAADv7vMc=",0)</f>
        <v>#REF!</v>
      </c>
      <c r="GS9" s="34" t="e">
        <f>IF(#REF!,"AAAAADv7vMg=",0)</f>
        <v>#REF!</v>
      </c>
      <c r="GT9" s="34" t="e">
        <f>IF(#REF!,"AAAAADv7vMk=",0)</f>
        <v>#REF!</v>
      </c>
      <c r="GU9" s="34" t="e">
        <f>IF(#REF!,"AAAAADv7vMo=",0)</f>
        <v>#REF!</v>
      </c>
      <c r="GV9" s="34" t="e">
        <f>IF(#REF!,"AAAAADv7vMs=",0)</f>
        <v>#REF!</v>
      </c>
      <c r="GW9" s="34" t="e">
        <f>IF(#REF!,"AAAAADv7vMw=",0)</f>
        <v>#REF!</v>
      </c>
      <c r="GX9" s="34" t="e">
        <f>IF(#REF!,"AAAAADv7vM0=",0)</f>
        <v>#REF!</v>
      </c>
      <c r="GY9" s="34" t="e">
        <f>IF(#REF!,"AAAAADv7vM4=",0)</f>
        <v>#REF!</v>
      </c>
      <c r="GZ9" s="34" t="e">
        <f>IF(#REF!,"AAAAADv7vM8=",0)</f>
        <v>#REF!</v>
      </c>
      <c r="HA9" s="34" t="e">
        <f>IF(#REF!,"AAAAADv7vNA=",0)</f>
        <v>#REF!</v>
      </c>
      <c r="HB9" s="34" t="e">
        <f>IF(#REF!,"AAAAADv7vNE=",0)</f>
        <v>#REF!</v>
      </c>
      <c r="HC9" s="34" t="e">
        <f>IF(#REF!,"AAAAADv7vNI=",0)</f>
        <v>#REF!</v>
      </c>
      <c r="HD9" s="34" t="e">
        <f>IF(#REF!,"AAAAADv7vNM=",0)</f>
        <v>#REF!</v>
      </c>
      <c r="HE9" s="34" t="e">
        <f>IF(#REF!,"AAAAADv7vNQ=",0)</f>
        <v>#REF!</v>
      </c>
      <c r="HF9" s="34" t="e">
        <f>IF(#REF!,"AAAAADv7vNU=",0)</f>
        <v>#REF!</v>
      </c>
      <c r="HG9" s="34" t="e">
        <f>IF(#REF!,"AAAAADv7vNY=",0)</f>
        <v>#REF!</v>
      </c>
      <c r="HH9" s="34" t="e">
        <f>IF(#REF!,"AAAAADv7vNc=",0)</f>
        <v>#REF!</v>
      </c>
      <c r="HI9" s="34" t="e">
        <f>IF(#REF!,"AAAAADv7vNg=",0)</f>
        <v>#REF!</v>
      </c>
      <c r="HJ9" s="34" t="e">
        <f>IF(#REF!,"AAAAADv7vNk=",0)</f>
        <v>#REF!</v>
      </c>
      <c r="HK9" s="34" t="e">
        <f>IF(#REF!,"AAAAADv7vNo=",0)</f>
        <v>#REF!</v>
      </c>
      <c r="HL9" s="34" t="e">
        <f>IF(#REF!,"AAAAADv7vNs=",0)</f>
        <v>#REF!</v>
      </c>
      <c r="HM9" s="34" t="e">
        <f>IF(#REF!,"AAAAADv7vNw=",0)</f>
        <v>#REF!</v>
      </c>
      <c r="HN9" s="34" t="e">
        <f>IF(#REF!,"AAAAADv7vN0=",0)</f>
        <v>#REF!</v>
      </c>
      <c r="HO9" s="34" t="e">
        <f>IF(#REF!,"AAAAADv7vN4=",0)</f>
        <v>#REF!</v>
      </c>
      <c r="HP9" s="34" t="e">
        <f>IF(#REF!,"AAAAADv7vN8=",0)</f>
        <v>#REF!</v>
      </c>
      <c r="HQ9" s="34" t="e">
        <f>IF(#REF!,"AAAAADv7vOA=",0)</f>
        <v>#REF!</v>
      </c>
      <c r="HR9" s="34" t="e">
        <f>IF(#REF!,"AAAAADv7vOE=",0)</f>
        <v>#REF!</v>
      </c>
      <c r="HS9" s="34" t="e">
        <f>IF(#REF!,"AAAAADv7vOI=",0)</f>
        <v>#REF!</v>
      </c>
      <c r="HT9" s="34" t="e">
        <f>IF(#REF!,"AAAAADv7vOM=",0)</f>
        <v>#REF!</v>
      </c>
      <c r="HU9" s="34" t="e">
        <f>IF(#REF!,"AAAAADv7vOQ=",0)</f>
        <v>#REF!</v>
      </c>
      <c r="HV9" s="34" t="e">
        <f>IF(#REF!,"AAAAADv7vOU=",0)</f>
        <v>#REF!</v>
      </c>
      <c r="HW9" s="34" t="e">
        <f>IF(#REF!,"AAAAADv7vOY=",0)</f>
        <v>#REF!</v>
      </c>
      <c r="HX9" s="34" t="e">
        <f>IF(#REF!,"AAAAADv7vOc=",0)</f>
        <v>#REF!</v>
      </c>
      <c r="HY9" s="34" t="e">
        <f>IF(#REF!,"AAAAADv7vOg=",0)</f>
        <v>#REF!</v>
      </c>
      <c r="HZ9" s="34" t="e">
        <f>IF(#REF!,"AAAAADv7vOk=",0)</f>
        <v>#REF!</v>
      </c>
      <c r="IA9" s="34" t="e">
        <f>IF(#REF!,"AAAAADv7vOo=",0)</f>
        <v>#REF!</v>
      </c>
      <c r="IB9" s="34" t="e">
        <f>IF(#REF!,"AAAAADv7vOs=",0)</f>
        <v>#REF!</v>
      </c>
      <c r="IC9" s="34" t="e">
        <f>IF(#REF!,"AAAAADv7vOw=",0)</f>
        <v>#REF!</v>
      </c>
      <c r="ID9" s="34" t="e">
        <f>IF(#REF!,"AAAAADv7vO0=",0)</f>
        <v>#REF!</v>
      </c>
      <c r="IE9" s="34" t="e">
        <f>IF(#REF!,"AAAAADv7vO4=",0)</f>
        <v>#REF!</v>
      </c>
      <c r="IF9" s="34" t="e">
        <f>IF(#REF!,"AAAAADv7vO8=",0)</f>
        <v>#REF!</v>
      </c>
      <c r="IG9" s="34" t="e">
        <f>IF(#REF!,"AAAAADv7vPA=",0)</f>
        <v>#REF!</v>
      </c>
      <c r="IH9" s="34" t="e">
        <f>IF(#REF!,"AAAAADv7vPE=",0)</f>
        <v>#REF!</v>
      </c>
      <c r="II9" s="34" t="e">
        <f>IF(#REF!,"AAAAADv7vPI=",0)</f>
        <v>#REF!</v>
      </c>
      <c r="IJ9" s="34" t="e">
        <f>IF(#REF!,"AAAAADv7vPM=",0)</f>
        <v>#REF!</v>
      </c>
      <c r="IK9" s="34" t="e">
        <f>IF(#REF!,"AAAAADv7vPQ=",0)</f>
        <v>#REF!</v>
      </c>
      <c r="IL9" s="34" t="e">
        <f>IF(#REF!,"AAAAADv7vPU=",0)</f>
        <v>#REF!</v>
      </c>
      <c r="IM9" s="34" t="e">
        <f>IF(#REF!,"AAAAADv7vPY=",0)</f>
        <v>#REF!</v>
      </c>
      <c r="IN9" s="34" t="e">
        <f>IF(#REF!,"AAAAADv7vPc=",0)</f>
        <v>#REF!</v>
      </c>
      <c r="IO9" s="34" t="e">
        <f>IF(#REF!,"AAAAADv7vPg=",0)</f>
        <v>#REF!</v>
      </c>
      <c r="IP9" s="34" t="e">
        <f>IF(#REF!,"AAAAADv7vPk=",0)</f>
        <v>#REF!</v>
      </c>
      <c r="IQ9" s="34" t="e">
        <f>IF(#REF!,"AAAAADv7vPo=",0)</f>
        <v>#REF!</v>
      </c>
      <c r="IR9" s="34" t="e">
        <f>IF(#REF!,"AAAAADv7vPs=",0)</f>
        <v>#REF!</v>
      </c>
      <c r="IS9" s="34" t="e">
        <f>IF(#REF!,"AAAAADv7vPw=",0)</f>
        <v>#REF!</v>
      </c>
      <c r="IT9" s="34" t="e">
        <f>IF(#REF!,"AAAAADv7vP0=",0)</f>
        <v>#REF!</v>
      </c>
      <c r="IU9" s="34" t="e">
        <f>IF(#REF!,"AAAAADv7vP4=",0)</f>
        <v>#REF!</v>
      </c>
      <c r="IV9" s="34" t="e">
        <f>IF(#REF!,"AAAAADv7vP8=",0)</f>
        <v>#REF!</v>
      </c>
    </row>
    <row r="10" spans="1:256" ht="12.75" customHeight="1" x14ac:dyDescent="0.2">
      <c r="A10" s="34" t="e">
        <f>IF(#REF!,"AAAAAHu7+wA=",0)</f>
        <v>#REF!</v>
      </c>
      <c r="B10" s="34" t="e">
        <f>IF(#REF!,"AAAAAHu7+wE=",0)</f>
        <v>#REF!</v>
      </c>
      <c r="C10" s="34" t="e">
        <f>IF(#REF!,"AAAAAHu7+wI=",0)</f>
        <v>#REF!</v>
      </c>
      <c r="D10" s="34" t="e">
        <f>IF(#REF!,"AAAAAHu7+wM=",0)</f>
        <v>#REF!</v>
      </c>
      <c r="E10" s="34" t="e">
        <f>IF(#REF!,"AAAAAHu7+wQ=",0)</f>
        <v>#REF!</v>
      </c>
      <c r="F10" s="34" t="e">
        <f>IF(#REF!,"AAAAAHu7+wU=",0)</f>
        <v>#REF!</v>
      </c>
      <c r="G10" s="34" t="e">
        <f>IF(#REF!,"AAAAAHu7+wY=",0)</f>
        <v>#REF!</v>
      </c>
      <c r="H10" s="34" t="e">
        <f>IF(#REF!,"AAAAAHu7+wc=",0)</f>
        <v>#REF!</v>
      </c>
      <c r="I10" s="34" t="e">
        <f>IF(#REF!,"AAAAAHu7+wg=",0)</f>
        <v>#REF!</v>
      </c>
      <c r="J10" s="34" t="e">
        <f>IF(#REF!,"AAAAAHu7+wk=",0)</f>
        <v>#REF!</v>
      </c>
      <c r="K10" s="34" t="e">
        <f>IF(#REF!,"AAAAAHu7+wo=",0)</f>
        <v>#REF!</v>
      </c>
      <c r="L10" s="34" t="e">
        <f>IF(#REF!,"AAAAAHu7+ws=",0)</f>
        <v>#REF!</v>
      </c>
      <c r="M10" s="34" t="e">
        <f>IF(#REF!,"AAAAAHu7+ww=",0)</f>
        <v>#REF!</v>
      </c>
      <c r="N10" s="34" t="e">
        <f>IF(#REF!,"AAAAAHu7+w0=",0)</f>
        <v>#REF!</v>
      </c>
      <c r="O10" s="34" t="e">
        <f>IF(#REF!,"AAAAAHu7+w4=",0)</f>
        <v>#REF!</v>
      </c>
      <c r="P10" s="34" t="e">
        <f>IF(#REF!,"AAAAAHu7+w8=",0)</f>
        <v>#REF!</v>
      </c>
      <c r="Q10" s="34" t="e">
        <f>IF(#REF!,"AAAAAHu7+xA=",0)</f>
        <v>#REF!</v>
      </c>
      <c r="R10" s="34" t="e">
        <f>IF(#REF!,"AAAAAHu7+xE=",0)</f>
        <v>#REF!</v>
      </c>
      <c r="S10" s="34" t="e">
        <f>IF(#REF!,"AAAAAHu7+xI=",0)</f>
        <v>#REF!</v>
      </c>
      <c r="T10" s="34" t="e">
        <f>IF(#REF!,"AAAAAHu7+xM=",0)</f>
        <v>#REF!</v>
      </c>
      <c r="U10" s="34" t="e">
        <f>IF(#REF!,"AAAAAHu7+xQ=",0)</f>
        <v>#REF!</v>
      </c>
      <c r="V10" s="34" t="e">
        <f>IF(#REF!,"AAAAAHu7+xU=",0)</f>
        <v>#REF!</v>
      </c>
      <c r="W10" s="34" t="e">
        <f>IF(#REF!,"AAAAAHu7+xY=",0)</f>
        <v>#REF!</v>
      </c>
      <c r="X10" s="34" t="e">
        <f>IF(#REF!,"AAAAAHu7+xc=",0)</f>
        <v>#REF!</v>
      </c>
      <c r="Y10" s="34" t="e">
        <f>IF(#REF!,"AAAAAHu7+xg=",0)</f>
        <v>#REF!</v>
      </c>
      <c r="Z10" s="34" t="e">
        <f>IF(#REF!,"AAAAAHu7+xk=",0)</f>
        <v>#REF!</v>
      </c>
      <c r="AA10" s="34" t="e">
        <f>IF(#REF!,"AAAAAHu7+xo=",0)</f>
        <v>#REF!</v>
      </c>
      <c r="AB10" s="34" t="e">
        <f>IF(#REF!,"AAAAAHu7+xs=",0)</f>
        <v>#REF!</v>
      </c>
      <c r="AC10" s="34" t="e">
        <f>IF(#REF!,"AAAAAHu7+xw=",0)</f>
        <v>#REF!</v>
      </c>
      <c r="AD10" s="34" t="e">
        <f>IF(#REF!,"AAAAAHu7+x0=",0)</f>
        <v>#REF!</v>
      </c>
      <c r="AE10" s="34" t="e">
        <f>IF(#REF!,"AAAAAHu7+x4=",0)</f>
        <v>#REF!</v>
      </c>
      <c r="AF10" s="34" t="e">
        <f>IF(#REF!,"AAAAAHu7+x8=",0)</f>
        <v>#REF!</v>
      </c>
      <c r="AG10" s="34" t="e">
        <f>IF(#REF!,"AAAAAHu7+yA=",0)</f>
        <v>#REF!</v>
      </c>
      <c r="AH10" s="34" t="e">
        <f>IF(#REF!,"AAAAAHu7+yE=",0)</f>
        <v>#REF!</v>
      </c>
      <c r="AI10" s="34" t="e">
        <f>IF(#REF!,"AAAAAHu7+yI=",0)</f>
        <v>#REF!</v>
      </c>
      <c r="AJ10" s="34" t="e">
        <f>IF(#REF!,"AAAAAHu7+yM=",0)</f>
        <v>#REF!</v>
      </c>
      <c r="AK10" s="34" t="e">
        <f>IF(#REF!,"AAAAAHu7+yQ=",0)</f>
        <v>#REF!</v>
      </c>
      <c r="AL10" s="34" t="e">
        <f>IF(#REF!,"AAAAAHu7+yU=",0)</f>
        <v>#REF!</v>
      </c>
      <c r="AM10" s="34" t="e">
        <f>IF(#REF!,"AAAAAHu7+yY=",0)</f>
        <v>#REF!</v>
      </c>
      <c r="AN10" s="34" t="e">
        <f>IF(#REF!,"AAAAAHu7+yc=",0)</f>
        <v>#REF!</v>
      </c>
      <c r="AO10" s="34" t="e">
        <f>IF(#REF!,"AAAAAHu7+yg=",0)</f>
        <v>#REF!</v>
      </c>
      <c r="AP10" s="34" t="e">
        <f>IF(#REF!,"AAAAAHu7+yk=",0)</f>
        <v>#REF!</v>
      </c>
      <c r="AQ10" s="34" t="e">
        <f>IF(#REF!,"AAAAAHu7+yo=",0)</f>
        <v>#REF!</v>
      </c>
      <c r="AR10" s="34" t="e">
        <f>IF(#REF!,"AAAAAHu7+ys=",0)</f>
        <v>#REF!</v>
      </c>
      <c r="AS10" s="34" t="e">
        <f>IF(#REF!,"AAAAAHu7+yw=",0)</f>
        <v>#REF!</v>
      </c>
      <c r="AT10" s="34" t="e">
        <f>IF(#REF!,"AAAAAHu7+y0=",0)</f>
        <v>#REF!</v>
      </c>
      <c r="AU10" s="34" t="e">
        <f>IF(#REF!,"AAAAAHu7+y4=",0)</f>
        <v>#REF!</v>
      </c>
      <c r="AV10" s="34" t="e">
        <f>IF(#REF!,"AAAAAHu7+y8=",0)</f>
        <v>#REF!</v>
      </c>
      <c r="AW10" s="34" t="e">
        <f>IF(#REF!,"AAAAAHu7+zA=",0)</f>
        <v>#REF!</v>
      </c>
      <c r="AX10" s="34" t="e">
        <f>IF(#REF!,"AAAAAHu7+zE=",0)</f>
        <v>#REF!</v>
      </c>
      <c r="AY10" s="34" t="e">
        <f>IF(#REF!,"AAAAAHu7+zI=",0)</f>
        <v>#REF!</v>
      </c>
      <c r="AZ10" s="34" t="e">
        <f>IF(#REF!,"AAAAAHu7+zM=",0)</f>
        <v>#REF!</v>
      </c>
      <c r="BA10" s="34" t="e">
        <f>IF(#REF!,"AAAAAHu7+zQ=",0)</f>
        <v>#REF!</v>
      </c>
      <c r="BB10" s="34" t="e">
        <f>IF(#REF!,"AAAAAHu7+zU=",0)</f>
        <v>#REF!</v>
      </c>
      <c r="BC10" s="34" t="e">
        <f>IF(#REF!,"AAAAAHu7+zY=",0)</f>
        <v>#REF!</v>
      </c>
      <c r="BD10" s="34" t="e">
        <f>IF(#REF!,"AAAAAHu7+zc=",0)</f>
        <v>#REF!</v>
      </c>
      <c r="BE10" s="34" t="e">
        <f>IF(#REF!,"AAAAAHu7+zg=",0)</f>
        <v>#REF!</v>
      </c>
      <c r="BF10" s="34" t="e">
        <f>IF(#REF!,"AAAAAHu7+zk=",0)</f>
        <v>#REF!</v>
      </c>
      <c r="BG10" s="34" t="e">
        <f>IF(#REF!,"AAAAAHu7+zo=",0)</f>
        <v>#REF!</v>
      </c>
      <c r="BH10" s="34" t="e">
        <f>IF(#REF!,"AAAAAHu7+zs=",0)</f>
        <v>#REF!</v>
      </c>
      <c r="BI10" s="34" t="e">
        <f>IF(#REF!,"AAAAAHu7+zw=",0)</f>
        <v>#REF!</v>
      </c>
      <c r="BJ10" s="34" t="e">
        <f>IF(#REF!,"AAAAAHu7+z0=",0)</f>
        <v>#REF!</v>
      </c>
      <c r="BK10" s="34" t="e">
        <f>IF(#REF!,"AAAAAHu7+z4=",0)</f>
        <v>#REF!</v>
      </c>
      <c r="BL10" s="34" t="e">
        <f>IF(#REF!,"AAAAAHu7+z8=",0)</f>
        <v>#REF!</v>
      </c>
      <c r="BM10" s="34" t="e">
        <f>IF(#REF!,"AAAAAHu7+0A=",0)</f>
        <v>#REF!</v>
      </c>
      <c r="BN10" s="34" t="e">
        <f>IF(#REF!,"AAAAAHu7+0E=",0)</f>
        <v>#REF!</v>
      </c>
      <c r="BO10" s="34" t="e">
        <f>IF(#REF!,"AAAAAHu7+0I=",0)</f>
        <v>#REF!</v>
      </c>
      <c r="BP10" s="34" t="e">
        <f>IF(#REF!,"AAAAAHu7+0M=",0)</f>
        <v>#REF!</v>
      </c>
      <c r="BQ10" s="34" t="e">
        <f>IF(#REF!,"AAAAAHu7+0Q=",0)</f>
        <v>#REF!</v>
      </c>
      <c r="BR10" s="34" t="e">
        <f>IF(#REF!,"AAAAAHu7+0U=",0)</f>
        <v>#REF!</v>
      </c>
      <c r="BS10" s="34" t="e">
        <f>IF(#REF!,"AAAAAHu7+0Y=",0)</f>
        <v>#REF!</v>
      </c>
      <c r="BT10" s="34" t="e">
        <f>IF(#REF!,"AAAAAHu7+0c=",0)</f>
        <v>#REF!</v>
      </c>
      <c r="BU10" s="34" t="e">
        <f>IF(#REF!,"AAAAAHu7+0g=",0)</f>
        <v>#REF!</v>
      </c>
      <c r="BV10" s="34" t="e">
        <f>IF(#REF!,"AAAAAHu7+0k=",0)</f>
        <v>#REF!</v>
      </c>
      <c r="BW10" s="34" t="e">
        <f>IF(#REF!,"AAAAAHu7+0o=",0)</f>
        <v>#REF!</v>
      </c>
      <c r="BX10" s="34" t="e">
        <f>IF(#REF!,"AAAAAHu7+0s=",0)</f>
        <v>#REF!</v>
      </c>
      <c r="BY10" s="34" t="e">
        <f>IF(#REF!,"AAAAAHu7+0w=",0)</f>
        <v>#REF!</v>
      </c>
      <c r="BZ10" s="34" t="e">
        <f>IF(#REF!,"AAAAAHu7+00=",0)</f>
        <v>#REF!</v>
      </c>
      <c r="CA10" s="34" t="e">
        <f>IF(#REF!,"AAAAAHu7+04=",0)</f>
        <v>#REF!</v>
      </c>
      <c r="CB10" s="34" t="e">
        <f>IF(#REF!,"AAAAAHu7+08=",0)</f>
        <v>#REF!</v>
      </c>
      <c r="CC10" s="34" t="e">
        <f>IF(#REF!,"AAAAAHu7+1A=",0)</f>
        <v>#REF!</v>
      </c>
      <c r="CD10" s="34" t="e">
        <f>IF(#REF!,"AAAAAHu7+1E=",0)</f>
        <v>#REF!</v>
      </c>
      <c r="CE10" s="34" t="e">
        <f>IF(#REF!,"AAAAAHu7+1I=",0)</f>
        <v>#REF!</v>
      </c>
      <c r="CF10" s="34" t="e">
        <f>IF(#REF!,"AAAAAHu7+1M=",0)</f>
        <v>#REF!</v>
      </c>
      <c r="CG10" s="34" t="e">
        <f>IF(#REF!,"AAAAAHu7+1Q=",0)</f>
        <v>#REF!</v>
      </c>
      <c r="CH10" s="34" t="e">
        <f>IF(#REF!,"AAAAAHu7+1U=",0)</f>
        <v>#REF!</v>
      </c>
      <c r="CI10" s="34" t="e">
        <f>IF(#REF!,"AAAAAHu7+1Y=",0)</f>
        <v>#REF!</v>
      </c>
      <c r="CJ10" s="34" t="e">
        <f>IF(#REF!,"AAAAAHu7+1c=",0)</f>
        <v>#REF!</v>
      </c>
      <c r="CK10" s="34" t="e">
        <f>IF(#REF!,"AAAAAHu7+1g=",0)</f>
        <v>#REF!</v>
      </c>
      <c r="CL10" s="34" t="e">
        <f>IF(#REF!,"AAAAAHu7+1k=",0)</f>
        <v>#REF!</v>
      </c>
      <c r="CM10" s="34" t="e">
        <f>IF(#REF!,"AAAAAHu7+1o=",0)</f>
        <v>#REF!</v>
      </c>
      <c r="CN10" s="34" t="e">
        <f>IF(#REF!,"AAAAAHu7+1s=",0)</f>
        <v>#REF!</v>
      </c>
      <c r="CO10" s="34" t="e">
        <f>IF(#REF!,"AAAAAHu7+1w=",0)</f>
        <v>#REF!</v>
      </c>
      <c r="CP10" s="34" t="e">
        <f>IF(#REF!,"AAAAAHu7+10=",0)</f>
        <v>#REF!</v>
      </c>
      <c r="CQ10" s="34" t="e">
        <f>IF(#REF!,"AAAAAHu7+14=",0)</f>
        <v>#REF!</v>
      </c>
      <c r="CR10" s="34" t="e">
        <f>IF(#REF!,"AAAAAHu7+18=",0)</f>
        <v>#REF!</v>
      </c>
      <c r="CS10" s="34" t="e">
        <f>IF(#REF!,"AAAAAHu7+2A=",0)</f>
        <v>#REF!</v>
      </c>
      <c r="CT10" s="34" t="e">
        <f>IF(#REF!,"AAAAAHu7+2E=",0)</f>
        <v>#REF!</v>
      </c>
      <c r="CU10" s="34" t="e">
        <f>IF(#REF!,"AAAAAHu7+2I=",0)</f>
        <v>#REF!</v>
      </c>
      <c r="CV10" s="34" t="e">
        <f>IF(#REF!,"AAAAAHu7+2M=",0)</f>
        <v>#REF!</v>
      </c>
      <c r="CW10" s="34" t="e">
        <f>IF(#REF!,"AAAAAHu7+2Q=",0)</f>
        <v>#REF!</v>
      </c>
      <c r="CX10" s="34" t="e">
        <f>IF(#REF!,"AAAAAHu7+2U=",0)</f>
        <v>#REF!</v>
      </c>
      <c r="CY10" s="34" t="e">
        <f>IF(#REF!,"AAAAAHu7+2Y=",0)</f>
        <v>#REF!</v>
      </c>
      <c r="CZ10" s="34" t="e">
        <f>IF(#REF!,"AAAAAHu7+2c=",0)</f>
        <v>#REF!</v>
      </c>
      <c r="DA10" s="34" t="e">
        <f>IF(#REF!,"AAAAAHu7+2g=",0)</f>
        <v>#REF!</v>
      </c>
      <c r="DB10" s="34" t="e">
        <f>IF(#REF!,"AAAAAHu7+2k=",0)</f>
        <v>#REF!</v>
      </c>
      <c r="DC10" s="34" t="e">
        <f>IF(#REF!,"AAAAAHu7+2o=",0)</f>
        <v>#REF!</v>
      </c>
      <c r="DD10" s="34" t="e">
        <f>IF(#REF!,"AAAAAHu7+2s=",0)</f>
        <v>#REF!</v>
      </c>
      <c r="DE10" s="34" t="e">
        <f>IF(#REF!,"AAAAAHu7+2w=",0)</f>
        <v>#REF!</v>
      </c>
      <c r="DF10" s="34" t="e">
        <f>IF(#REF!,"AAAAAHu7+20=",0)</f>
        <v>#REF!</v>
      </c>
      <c r="DG10" s="34" t="e">
        <f>IF(#REF!,"AAAAAHu7+24=",0)</f>
        <v>#REF!</v>
      </c>
      <c r="DH10" s="34" t="e">
        <f>IF(#REF!,"AAAAAHu7+28=",0)</f>
        <v>#REF!</v>
      </c>
      <c r="DI10" s="34" t="e">
        <f>IF(#REF!,"AAAAAHu7+3A=",0)</f>
        <v>#REF!</v>
      </c>
      <c r="DJ10" s="34" t="e">
        <f>IF(#REF!,"AAAAAHu7+3E=",0)</f>
        <v>#REF!</v>
      </c>
      <c r="DK10" s="34" t="e">
        <f>IF(#REF!,"AAAAAHu7+3I=",0)</f>
        <v>#REF!</v>
      </c>
      <c r="DL10" s="34" t="e">
        <f>IF(#REF!,"AAAAAHu7+3M=",0)</f>
        <v>#REF!</v>
      </c>
      <c r="DM10" s="34" t="e">
        <f>IF(#REF!,"AAAAAHu7+3Q=",0)</f>
        <v>#REF!</v>
      </c>
      <c r="DN10" s="34" t="e">
        <f>IF(#REF!,"AAAAAHu7+3U=",0)</f>
        <v>#REF!</v>
      </c>
      <c r="DO10" s="34" t="e">
        <f>IF(#REF!,"AAAAAHu7+3Y=",0)</f>
        <v>#REF!</v>
      </c>
      <c r="DP10" s="34" t="e">
        <f>IF(#REF!,"AAAAAHu7+3c=",0)</f>
        <v>#REF!</v>
      </c>
      <c r="DQ10" s="34" t="e">
        <f>IF(#REF!,"AAAAAHu7+3g=",0)</f>
        <v>#REF!</v>
      </c>
      <c r="DR10" s="34" t="e">
        <f>IF(#REF!,"AAAAAHu7+3k=",0)</f>
        <v>#REF!</v>
      </c>
      <c r="DS10" s="34" t="e">
        <f>IF(#REF!,"AAAAAHu7+3o=",0)</f>
        <v>#REF!</v>
      </c>
      <c r="DT10" s="34" t="e">
        <f>IF(#REF!,"AAAAAHu7+3s=",0)</f>
        <v>#REF!</v>
      </c>
      <c r="DU10" s="34" t="e">
        <f>IF(#REF!,"AAAAAHu7+3w=",0)</f>
        <v>#REF!</v>
      </c>
      <c r="DV10" s="34" t="e">
        <f>IF(#REF!,"AAAAAHu7+30=",0)</f>
        <v>#REF!</v>
      </c>
      <c r="DW10" s="34" t="e">
        <f>IF(#REF!,"AAAAAHu7+34=",0)</f>
        <v>#REF!</v>
      </c>
      <c r="DX10" s="34" t="e">
        <f>IF(#REF!,"AAAAAHu7+38=",0)</f>
        <v>#REF!</v>
      </c>
      <c r="DY10" s="34" t="e">
        <f>IF(#REF!,"AAAAAHu7+4A=",0)</f>
        <v>#REF!</v>
      </c>
      <c r="DZ10" s="34" t="e">
        <f>IF(#REF!,"AAAAAHu7+4E=",0)</f>
        <v>#REF!</v>
      </c>
      <c r="EA10" s="34" t="e">
        <f>IF(#REF!,"AAAAAHu7+4I=",0)</f>
        <v>#REF!</v>
      </c>
      <c r="EB10" s="34" t="e">
        <f>IF(#REF!,"AAAAAHu7+4M=",0)</f>
        <v>#REF!</v>
      </c>
      <c r="EC10" s="34" t="e">
        <f>IF(#REF!,"AAAAAHu7+4Q=",0)</f>
        <v>#REF!</v>
      </c>
      <c r="ED10" s="34" t="e">
        <f>IF(#REF!,"AAAAAHu7+4U=",0)</f>
        <v>#REF!</v>
      </c>
      <c r="EE10" s="34" t="e">
        <f>IF(#REF!,"AAAAAHu7+4Y=",0)</f>
        <v>#REF!</v>
      </c>
      <c r="EF10" s="34" t="e">
        <f>IF(#REF!,"AAAAAHu7+4c=",0)</f>
        <v>#REF!</v>
      </c>
      <c r="EG10" s="34" t="e">
        <f>IF(#REF!,"AAAAAHu7+4g=",0)</f>
        <v>#REF!</v>
      </c>
      <c r="EH10" s="34" t="e">
        <f>IF(#REF!,"AAAAAHu7+4k=",0)</f>
        <v>#REF!</v>
      </c>
      <c r="EI10" s="34" t="e">
        <f>IF(#REF!,"AAAAAHu7+4o=",0)</f>
        <v>#REF!</v>
      </c>
      <c r="EJ10" s="34" t="e">
        <f>IF(#REF!,"AAAAAHu7+4s=",0)</f>
        <v>#REF!</v>
      </c>
      <c r="EK10" s="34" t="e">
        <f>IF(#REF!,"AAAAAHu7+4w=",0)</f>
        <v>#REF!</v>
      </c>
      <c r="EL10" s="34" t="e">
        <f>IF(#REF!,"AAAAAHu7+40=",0)</f>
        <v>#REF!</v>
      </c>
      <c r="EM10" s="34" t="e">
        <f>IF(#REF!,"AAAAAHu7+44=",0)</f>
        <v>#REF!</v>
      </c>
      <c r="EN10" s="34" t="e">
        <f>IF(#REF!,"AAAAAHu7+48=",0)</f>
        <v>#REF!</v>
      </c>
      <c r="EO10" s="34" t="e">
        <f>IF(#REF!,"AAAAAHu7+5A=",0)</f>
        <v>#REF!</v>
      </c>
      <c r="EP10" s="34" t="e">
        <f>IF(#REF!,"AAAAAHu7+5E=",0)</f>
        <v>#REF!</v>
      </c>
      <c r="EQ10" s="34" t="e">
        <f>IF(#REF!,"AAAAAHu7+5I=",0)</f>
        <v>#REF!</v>
      </c>
      <c r="ER10" s="34" t="e">
        <f>IF(#REF!,"AAAAAHu7+5M=",0)</f>
        <v>#REF!</v>
      </c>
      <c r="ES10" s="34" t="e">
        <f>IF(#REF!,"AAAAAHu7+5Q=",0)</f>
        <v>#REF!</v>
      </c>
      <c r="ET10" s="34" t="e">
        <f>IF(#REF!,"AAAAAHu7+5U=",0)</f>
        <v>#REF!</v>
      </c>
      <c r="EU10" s="34" t="e">
        <f>IF(#REF!,"AAAAAHu7+5Y=",0)</f>
        <v>#REF!</v>
      </c>
      <c r="EV10" s="34" t="e">
        <f>IF(#REF!,"AAAAAHu7+5c=",0)</f>
        <v>#REF!</v>
      </c>
      <c r="EW10" s="34" t="e">
        <f>IF(#REF!,"AAAAAHu7+5g=",0)</f>
        <v>#REF!</v>
      </c>
      <c r="EX10" s="34" t="e">
        <f>IF(#REF!,"AAAAAHu7+5k=",0)</f>
        <v>#REF!</v>
      </c>
      <c r="EY10" s="34" t="e">
        <f>IF(#REF!,"AAAAAHu7+5o=",0)</f>
        <v>#REF!</v>
      </c>
      <c r="EZ10" s="34" t="e">
        <f>IF(#REF!,"AAAAAHu7+5s=",0)</f>
        <v>#REF!</v>
      </c>
      <c r="FA10" s="34" t="e">
        <f>IF(#REF!,"AAAAAHu7+5w=",0)</f>
        <v>#REF!</v>
      </c>
      <c r="FB10" s="34" t="e">
        <f>IF(#REF!,"AAAAAHu7+50=",0)</f>
        <v>#REF!</v>
      </c>
      <c r="FC10" s="34" t="e">
        <f>IF(#REF!,"AAAAAHu7+54=",0)</f>
        <v>#REF!</v>
      </c>
      <c r="FD10" s="34" t="e">
        <f>IF(#REF!,"AAAAAHu7+58=",0)</f>
        <v>#REF!</v>
      </c>
      <c r="FE10" s="34" t="e">
        <f>IF(#REF!,"AAAAAHu7+6A=",0)</f>
        <v>#REF!</v>
      </c>
      <c r="FF10" s="34" t="e">
        <f>IF(#REF!,"AAAAAHu7+6E=",0)</f>
        <v>#REF!</v>
      </c>
      <c r="FG10" s="34" t="e">
        <f>IF(#REF!,"AAAAAHu7+6I=",0)</f>
        <v>#REF!</v>
      </c>
      <c r="FH10" s="34" t="e">
        <f>IF(#REF!,"AAAAAHu7+6M=",0)</f>
        <v>#REF!</v>
      </c>
      <c r="FI10" s="34" t="e">
        <f>IF(#REF!,"AAAAAHu7+6Q=",0)</f>
        <v>#REF!</v>
      </c>
      <c r="FJ10" s="34" t="e">
        <f>IF(#REF!,"AAAAAHu7+6U=",0)</f>
        <v>#REF!</v>
      </c>
      <c r="FK10" s="34" t="e">
        <f>IF(#REF!,"AAAAAHu7+6Y=",0)</f>
        <v>#REF!</v>
      </c>
      <c r="FL10" s="34" t="e">
        <f>IF(#REF!,"AAAAAHu7+6c=",0)</f>
        <v>#REF!</v>
      </c>
      <c r="FM10" s="34" t="e">
        <f>IF(#REF!,"AAAAAHu7+6g=",0)</f>
        <v>#REF!</v>
      </c>
      <c r="FN10" s="34" t="e">
        <f>IF(#REF!,"AAAAAHu7+6k=",0)</f>
        <v>#REF!</v>
      </c>
      <c r="FO10" s="34" t="e">
        <f>IF(#REF!,"AAAAAHu7+6o=",0)</f>
        <v>#REF!</v>
      </c>
      <c r="FP10" s="34" t="e">
        <f>IF(#REF!,"AAAAAHu7+6s=",0)</f>
        <v>#REF!</v>
      </c>
      <c r="FQ10" s="34" t="e">
        <f>IF(#REF!,"AAAAAHu7+6w=",0)</f>
        <v>#REF!</v>
      </c>
      <c r="FR10" s="34" t="e">
        <f>IF(#REF!,"AAAAAHu7+60=",0)</f>
        <v>#REF!</v>
      </c>
      <c r="FS10" s="34" t="e">
        <f>IF(#REF!,"AAAAAHu7+64=",0)</f>
        <v>#REF!</v>
      </c>
      <c r="FT10" s="34" t="e">
        <f>IF(#REF!,"AAAAAHu7+68=",0)</f>
        <v>#REF!</v>
      </c>
      <c r="FU10" s="34" t="e">
        <f>IF(#REF!,"AAAAAHu7+7A=",0)</f>
        <v>#REF!</v>
      </c>
      <c r="FV10" s="34" t="e">
        <f>IF(#REF!,"AAAAAHu7+7E=",0)</f>
        <v>#REF!</v>
      </c>
      <c r="FW10" s="34" t="e">
        <f>IF(#REF!,"AAAAAHu7+7I=",0)</f>
        <v>#REF!</v>
      </c>
      <c r="FX10" s="34" t="e">
        <f>IF(#REF!,"AAAAAHu7+7M=",0)</f>
        <v>#REF!</v>
      </c>
      <c r="FY10" s="34" t="e">
        <f>IF(#REF!,"AAAAAHu7+7Q=",0)</f>
        <v>#REF!</v>
      </c>
      <c r="FZ10" s="34" t="e">
        <f>IF(#REF!,"AAAAAHu7+7U=",0)</f>
        <v>#REF!</v>
      </c>
      <c r="GA10" s="34" t="e">
        <f>IF(#REF!,"AAAAAHu7+7Y=",0)</f>
        <v>#REF!</v>
      </c>
      <c r="GB10" s="34" t="e">
        <f>IF(#REF!,"AAAAAHu7+7c=",0)</f>
        <v>#REF!</v>
      </c>
      <c r="GC10" s="34" t="e">
        <f>IF(#REF!,"AAAAAHu7+7g=",0)</f>
        <v>#REF!</v>
      </c>
      <c r="GD10" s="34" t="e">
        <f>IF(#REF!,"AAAAAHu7+7k=",0)</f>
        <v>#REF!</v>
      </c>
      <c r="GE10" s="34" t="e">
        <f>IF(#REF!,"AAAAAHu7+7o=",0)</f>
        <v>#REF!</v>
      </c>
      <c r="GF10" s="34" t="e">
        <f>IF(#REF!,"AAAAAHu7+7s=",0)</f>
        <v>#REF!</v>
      </c>
      <c r="GG10" s="34" t="e">
        <f>IF(#REF!,"AAAAAHu7+7w=",0)</f>
        <v>#REF!</v>
      </c>
      <c r="GH10" s="34" t="e">
        <f>IF(#REF!,"AAAAAHu7+70=",0)</f>
        <v>#REF!</v>
      </c>
      <c r="GI10" s="34" t="e">
        <f>IF(#REF!,"AAAAAHu7+74=",0)</f>
        <v>#REF!</v>
      </c>
      <c r="GJ10" s="34" t="e">
        <f>IF(#REF!,"AAAAAHu7+78=",0)</f>
        <v>#REF!</v>
      </c>
      <c r="GK10" s="34" t="e">
        <f>IF(#REF!,"AAAAAHu7+8A=",0)</f>
        <v>#REF!</v>
      </c>
      <c r="GL10" s="34" t="e">
        <f>IF(#REF!,"AAAAAHu7+8E=",0)</f>
        <v>#REF!</v>
      </c>
      <c r="GM10" s="34" t="e">
        <f>IF(#REF!,"AAAAAHu7+8I=",0)</f>
        <v>#REF!</v>
      </c>
      <c r="GN10" s="34" t="e">
        <f>IF(#REF!,"AAAAAHu7+8M=",0)</f>
        <v>#REF!</v>
      </c>
      <c r="GO10" s="34" t="e">
        <f>IF(#REF!,"AAAAAHu7+8Q=",0)</f>
        <v>#REF!</v>
      </c>
      <c r="GP10" s="34" t="e">
        <f>IF(#REF!,"AAAAAHu7+8U=",0)</f>
        <v>#REF!</v>
      </c>
      <c r="GQ10" s="34" t="e">
        <f>IF(#REF!,"AAAAAHu7+8Y=",0)</f>
        <v>#REF!</v>
      </c>
      <c r="GR10" s="34" t="e">
        <f>IF(#REF!,"AAAAAHu7+8c=",0)</f>
        <v>#REF!</v>
      </c>
      <c r="GS10" s="34" t="e">
        <f>IF(#REF!,"AAAAAHu7+8g=",0)</f>
        <v>#REF!</v>
      </c>
      <c r="GT10" s="34" t="e">
        <f>IF(#REF!,"AAAAAHu7+8k=",0)</f>
        <v>#REF!</v>
      </c>
      <c r="GU10" s="34" t="e">
        <f>IF(#REF!,"AAAAAHu7+8o=",0)</f>
        <v>#REF!</v>
      </c>
      <c r="GV10" s="34" t="e">
        <f>IF(#REF!,"AAAAAHu7+8s=",0)</f>
        <v>#REF!</v>
      </c>
      <c r="GW10" s="34" t="e">
        <f>IF(#REF!,"AAAAAHu7+8w=",0)</f>
        <v>#REF!</v>
      </c>
      <c r="GX10" s="34" t="e">
        <f>IF(#REF!,"AAAAAHu7+80=",0)</f>
        <v>#REF!</v>
      </c>
      <c r="GY10" s="34" t="e">
        <f>IF(#REF!,"AAAAAHu7+84=",0)</f>
        <v>#REF!</v>
      </c>
      <c r="GZ10" s="34" t="e">
        <f>IF(#REF!,"AAAAAHu7+88=",0)</f>
        <v>#REF!</v>
      </c>
      <c r="HA10" s="34" t="e">
        <f>IF(#REF!,"AAAAAHu7+9A=",0)</f>
        <v>#REF!</v>
      </c>
      <c r="HB10" s="34" t="e">
        <f>IF(#REF!,"AAAAAHu7+9E=",0)</f>
        <v>#REF!</v>
      </c>
      <c r="HC10" s="34" t="e">
        <f>IF(#REF!,"AAAAAHu7+9I=",0)</f>
        <v>#REF!</v>
      </c>
      <c r="HD10" s="34" t="e">
        <f>IF(#REF!,"AAAAAHu7+9M=",0)</f>
        <v>#REF!</v>
      </c>
      <c r="HE10" s="34" t="e">
        <f>IF(#REF!,"AAAAAHu7+9Q=",0)</f>
        <v>#REF!</v>
      </c>
      <c r="HF10" s="34" t="e">
        <f>IF(#REF!,"AAAAAHu7+9U=",0)</f>
        <v>#REF!</v>
      </c>
      <c r="HG10" s="34" t="e">
        <f>IF(#REF!,"AAAAAHu7+9Y=",0)</f>
        <v>#REF!</v>
      </c>
      <c r="HH10" s="34" t="e">
        <f>IF(#REF!,"AAAAAHu7+9c=",0)</f>
        <v>#REF!</v>
      </c>
      <c r="HI10" s="34" t="e">
        <f>IF(#REF!,"AAAAAHu7+9g=",0)</f>
        <v>#REF!</v>
      </c>
      <c r="HJ10" s="34" t="e">
        <f>IF(#REF!,"AAAAAHu7+9k=",0)</f>
        <v>#REF!</v>
      </c>
      <c r="HK10" s="34" t="e">
        <f>IF(#REF!,"AAAAAHu7+9o=",0)</f>
        <v>#REF!</v>
      </c>
      <c r="HL10" s="34" t="e">
        <f>IF(#REF!,"AAAAAHu7+9s=",0)</f>
        <v>#REF!</v>
      </c>
      <c r="HM10" s="34" t="e">
        <f>IF(#REF!,"AAAAAHu7+9w=",0)</f>
        <v>#REF!</v>
      </c>
      <c r="HN10" s="34" t="e">
        <f>IF(#REF!,"AAAAAHu7+90=",0)</f>
        <v>#REF!</v>
      </c>
      <c r="HO10" s="34" t="e">
        <f>IF(#REF!,"AAAAAHu7+94=",0)</f>
        <v>#REF!</v>
      </c>
      <c r="HP10" s="34" t="e">
        <f>IF(#REF!,"AAAAAHu7+98=",0)</f>
        <v>#REF!</v>
      </c>
      <c r="HQ10" s="34" t="e">
        <f>IF(#REF!,"AAAAAHu7++A=",0)</f>
        <v>#REF!</v>
      </c>
      <c r="HR10" s="34" t="e">
        <f>IF(#REF!,"AAAAAHu7++E=",0)</f>
        <v>#REF!</v>
      </c>
      <c r="HS10" s="34" t="e">
        <f>IF(#REF!,"AAAAAHu7++I=",0)</f>
        <v>#REF!</v>
      </c>
      <c r="HT10" s="34" t="e">
        <f>IF(#REF!,"AAAAAHu7++M=",0)</f>
        <v>#REF!</v>
      </c>
      <c r="HU10" s="34" t="e">
        <f>IF(#REF!,"AAAAAHu7++Q=",0)</f>
        <v>#REF!</v>
      </c>
      <c r="HV10" s="34" t="e">
        <f>IF(#REF!,"AAAAAHu7++U=",0)</f>
        <v>#REF!</v>
      </c>
      <c r="HW10" s="34" t="e">
        <f>IF(#REF!,"AAAAAHu7++Y=",0)</f>
        <v>#REF!</v>
      </c>
      <c r="HX10" s="34" t="e">
        <f>IF(#REF!,"AAAAAHu7++c=",0)</f>
        <v>#REF!</v>
      </c>
      <c r="HY10" s="34" t="e">
        <f>IF(#REF!,"AAAAAHu7++g=",0)</f>
        <v>#REF!</v>
      </c>
      <c r="HZ10" s="34" t="e">
        <f>IF(#REF!,"AAAAAHu7++k=",0)</f>
        <v>#REF!</v>
      </c>
      <c r="IA10" s="34" t="e">
        <f>IF(#REF!,"AAAAAHu7++o=",0)</f>
        <v>#REF!</v>
      </c>
      <c r="IB10" s="34" t="e">
        <f>IF(#REF!,"AAAAAHu7++s=",0)</f>
        <v>#REF!</v>
      </c>
      <c r="IC10" s="34" t="e">
        <f>IF(#REF!,"AAAAAHu7++w=",0)</f>
        <v>#REF!</v>
      </c>
      <c r="ID10" s="34" t="e">
        <f>IF(#REF!,"AAAAAHu7++0=",0)</f>
        <v>#REF!</v>
      </c>
      <c r="IE10" s="34" t="e">
        <f>IF(#REF!,"AAAAAHu7++4=",0)</f>
        <v>#REF!</v>
      </c>
      <c r="IF10" s="34" t="e">
        <f>IF(#REF!,"AAAAAHu7++8=",0)</f>
        <v>#REF!</v>
      </c>
      <c r="IG10" s="34" t="e">
        <f>IF(#REF!,"AAAAAHu7+/A=",0)</f>
        <v>#REF!</v>
      </c>
      <c r="IH10" s="34" t="e">
        <f>IF(#REF!,"AAAAAHu7+/E=",0)</f>
        <v>#REF!</v>
      </c>
      <c r="II10" s="34" t="e">
        <f>IF(#REF!,"AAAAAHu7+/I=",0)</f>
        <v>#REF!</v>
      </c>
      <c r="IJ10" s="34" t="e">
        <f>IF(#REF!,"AAAAAHu7+/M=",0)</f>
        <v>#REF!</v>
      </c>
      <c r="IK10" s="34" t="e">
        <f>IF(#REF!,"AAAAAHu7+/Q=",0)</f>
        <v>#REF!</v>
      </c>
      <c r="IL10" s="34" t="e">
        <f>IF(#REF!,"AAAAAHu7+/U=",0)</f>
        <v>#REF!</v>
      </c>
      <c r="IM10" s="34" t="e">
        <f>IF(#REF!,"AAAAAHu7+/Y=",0)</f>
        <v>#REF!</v>
      </c>
      <c r="IN10" s="34" t="e">
        <f>IF(#REF!,"AAAAAHu7+/c=",0)</f>
        <v>#REF!</v>
      </c>
      <c r="IO10" s="34" t="e">
        <f>IF(#REF!,"AAAAAHu7+/g=",0)</f>
        <v>#REF!</v>
      </c>
      <c r="IP10" s="34" t="e">
        <f>IF(#REF!,"AAAAAHu7+/k=",0)</f>
        <v>#REF!</v>
      </c>
      <c r="IQ10" s="34" t="e">
        <f>IF(#REF!,"AAAAAHu7+/o=",0)</f>
        <v>#REF!</v>
      </c>
      <c r="IR10" s="34" t="e">
        <f>IF(#REF!,"AAAAAHu7+/s=",0)</f>
        <v>#REF!</v>
      </c>
      <c r="IS10" s="34" t="e">
        <f>IF(#REF!,"AAAAAHu7+/w=",0)</f>
        <v>#REF!</v>
      </c>
      <c r="IT10" s="34" t="e">
        <f>IF(#REF!,"AAAAAHu7+/0=",0)</f>
        <v>#REF!</v>
      </c>
      <c r="IU10" s="34" t="e">
        <f>IF(#REF!,"AAAAAHu7+/4=",0)</f>
        <v>#REF!</v>
      </c>
      <c r="IV10" s="34" t="e">
        <f>IF(#REF!,"AAAAAHu7+/8=",0)</f>
        <v>#REF!</v>
      </c>
    </row>
    <row r="11" spans="1:256" ht="12.75" customHeight="1" x14ac:dyDescent="0.2">
      <c r="A11" s="34" t="e">
        <f>IF(#REF!,"AAAAAD3PTwA=",0)</f>
        <v>#REF!</v>
      </c>
      <c r="B11" s="34" t="e">
        <f>IF(#REF!,"AAAAAD3PTwE=",0)</f>
        <v>#REF!</v>
      </c>
      <c r="C11" s="34" t="e">
        <f>IF(#REF!,"AAAAAD3PTwI=",0)</f>
        <v>#REF!</v>
      </c>
      <c r="D11" s="34" t="e">
        <f>IF(#REF!,"AAAAAD3PTwM=",0)</f>
        <v>#REF!</v>
      </c>
      <c r="E11" s="34" t="e">
        <f>IF(#REF!,"AAAAAD3PTwQ=",0)</f>
        <v>#REF!</v>
      </c>
      <c r="F11" s="34" t="e">
        <f>IF(#REF!,"AAAAAD3PTwU=",0)</f>
        <v>#REF!</v>
      </c>
      <c r="G11" s="34" t="e">
        <f>IF(#REF!,"AAAAAD3PTwY=",0)</f>
        <v>#REF!</v>
      </c>
      <c r="H11" s="34" t="e">
        <f>IF(#REF!,"AAAAAD3PTwc=",0)</f>
        <v>#REF!</v>
      </c>
      <c r="I11" s="34" t="e">
        <f>IF(#REF!,"AAAAAD3PTwg=",0)</f>
        <v>#REF!</v>
      </c>
      <c r="J11" s="34" t="e">
        <f>IF(#REF!,"AAAAAD3PTwk=",0)</f>
        <v>#REF!</v>
      </c>
      <c r="K11" s="34" t="e">
        <f>IF(#REF!,"AAAAAD3PTwo=",0)</f>
        <v>#REF!</v>
      </c>
      <c r="L11" s="34" t="e">
        <f>IF(#REF!,"AAAAAD3PTws=",0)</f>
        <v>#REF!</v>
      </c>
      <c r="M11" s="34" t="e">
        <f>IF(#REF!,"AAAAAD3PTww=",0)</f>
        <v>#REF!</v>
      </c>
      <c r="N11" s="34" t="e">
        <f>IF(#REF!,"AAAAAD3PTw0=",0)</f>
        <v>#REF!</v>
      </c>
      <c r="O11" s="34" t="e">
        <f>IF(#REF!,"AAAAAD3PTw4=",0)</f>
        <v>#REF!</v>
      </c>
      <c r="P11" s="34" t="e">
        <f>IF(#REF!,"AAAAAD3PTw8=",0)</f>
        <v>#REF!</v>
      </c>
      <c r="Q11" s="34" t="e">
        <f>IF(#REF!,"AAAAAD3PTxA=",0)</f>
        <v>#REF!</v>
      </c>
      <c r="R11" s="34" t="e">
        <f>IF(#REF!,"AAAAAD3PTxE=",0)</f>
        <v>#REF!</v>
      </c>
      <c r="S11" s="34" t="e">
        <f>IF(#REF!,"AAAAAD3PTxI=",0)</f>
        <v>#REF!</v>
      </c>
      <c r="T11" s="34" t="e">
        <f>IF(#REF!,"AAAAAD3PTxM=",0)</f>
        <v>#REF!</v>
      </c>
      <c r="U11" s="34" t="e">
        <f>IF(#REF!,"AAAAAD3PTxQ=",0)</f>
        <v>#REF!</v>
      </c>
      <c r="V11" s="34" t="e">
        <f>IF(#REF!,"AAAAAD3PTxU=",0)</f>
        <v>#REF!</v>
      </c>
      <c r="W11" s="34" t="e">
        <f>IF(#REF!,"AAAAAD3PTxY=",0)</f>
        <v>#REF!</v>
      </c>
      <c r="X11" s="34" t="e">
        <f>IF(#REF!,"AAAAAD3PTxc=",0)</f>
        <v>#REF!</v>
      </c>
      <c r="Y11" s="34" t="e">
        <f>IF(#REF!,"AAAAAD3PTxg=",0)</f>
        <v>#REF!</v>
      </c>
      <c r="Z11" s="34" t="e">
        <f>IF(#REF!,"AAAAAD3PTxk=",0)</f>
        <v>#REF!</v>
      </c>
      <c r="AA11" s="34" t="e">
        <f>IF(#REF!,"AAAAAD3PTxo=",0)</f>
        <v>#REF!</v>
      </c>
      <c r="AB11" s="34" t="e">
        <f>IF(#REF!,"AAAAAD3PTxs=",0)</f>
        <v>#REF!</v>
      </c>
      <c r="AC11" s="34" t="e">
        <f>IF(#REF!,"AAAAAD3PTxw=",0)</f>
        <v>#REF!</v>
      </c>
      <c r="AD11" s="34" t="e">
        <f>IF(#REF!,"AAAAAD3PTx0=",0)</f>
        <v>#REF!</v>
      </c>
      <c r="AE11" s="34" t="e">
        <f>IF(#REF!,"AAAAAD3PTx4=",0)</f>
        <v>#REF!</v>
      </c>
      <c r="AF11" s="34" t="e">
        <f>IF(#REF!,"AAAAAD3PTx8=",0)</f>
        <v>#REF!</v>
      </c>
      <c r="AG11" s="34" t="e">
        <f>IF(#REF!,"AAAAAD3PTyA=",0)</f>
        <v>#REF!</v>
      </c>
      <c r="AH11" s="34" t="e">
        <f>IF(#REF!,"AAAAAD3PTyE=",0)</f>
        <v>#REF!</v>
      </c>
      <c r="AI11" s="34" t="e">
        <f>IF(#REF!,"AAAAAD3PTyI=",0)</f>
        <v>#REF!</v>
      </c>
      <c r="AJ11" s="34" t="e">
        <f>IF(#REF!,"AAAAAD3PTyM=",0)</f>
        <v>#REF!</v>
      </c>
      <c r="AK11" s="34" t="e">
        <f>IF(#REF!,"AAAAAD3PTyQ=",0)</f>
        <v>#REF!</v>
      </c>
      <c r="AL11" s="34" t="e">
        <f>IF(#REF!,"AAAAAD3PTyU=",0)</f>
        <v>#REF!</v>
      </c>
      <c r="AM11" s="34" t="e">
        <f>IF(#REF!,"AAAAAD3PTyY=",0)</f>
        <v>#REF!</v>
      </c>
      <c r="AN11" s="34" t="e">
        <f>IF(#REF!,"AAAAAD3PTyc=",0)</f>
        <v>#REF!</v>
      </c>
      <c r="AO11" s="34" t="e">
        <f>IF(#REF!,"AAAAAD3PTyg=",0)</f>
        <v>#REF!</v>
      </c>
      <c r="AP11" s="34" t="e">
        <f>IF(#REF!,"AAAAAD3PTyk=",0)</f>
        <v>#REF!</v>
      </c>
      <c r="AQ11" s="34" t="e">
        <f>IF(#REF!,"AAAAAD3PTyo=",0)</f>
        <v>#REF!</v>
      </c>
      <c r="AR11" s="34" t="e">
        <f>IF(#REF!,"AAAAAD3PTys=",0)</f>
        <v>#REF!</v>
      </c>
      <c r="AS11" s="34" t="e">
        <f>IF(#REF!,"AAAAAD3PTyw=",0)</f>
        <v>#REF!</v>
      </c>
      <c r="AT11" s="34" t="e">
        <f>IF(#REF!,"AAAAAD3PTy0=",0)</f>
        <v>#REF!</v>
      </c>
      <c r="AU11" s="34" t="e">
        <f>IF(#REF!,"AAAAAD3PTy4=",0)</f>
        <v>#REF!</v>
      </c>
      <c r="AV11" s="34" t="e">
        <f>IF(#REF!,"AAAAAD3PTy8=",0)</f>
        <v>#REF!</v>
      </c>
      <c r="AW11" s="34" t="e">
        <f>IF(#REF!,"AAAAAD3PTzA=",0)</f>
        <v>#REF!</v>
      </c>
      <c r="AX11" s="34" t="e">
        <f>IF(#REF!,"AAAAAD3PTzE=",0)</f>
        <v>#REF!</v>
      </c>
      <c r="AY11" s="34" t="e">
        <f>IF(#REF!,"AAAAAD3PTzI=",0)</f>
        <v>#REF!</v>
      </c>
      <c r="AZ11" s="34" t="e">
        <f>IF(#REF!,"AAAAAD3PTzM=",0)</f>
        <v>#REF!</v>
      </c>
      <c r="BA11" s="34" t="e">
        <f>IF(#REF!,"AAAAAD3PTzQ=",0)</f>
        <v>#REF!</v>
      </c>
      <c r="BB11" s="34" t="e">
        <f>IF(#REF!,"AAAAAD3PTzU=",0)</f>
        <v>#REF!</v>
      </c>
      <c r="BC11" s="34" t="e">
        <f>IF(#REF!,"AAAAAD3PTzY=",0)</f>
        <v>#REF!</v>
      </c>
      <c r="BD11" s="34" t="e">
        <f>IF(#REF!,"AAAAAD3PTzc=",0)</f>
        <v>#REF!</v>
      </c>
      <c r="BE11" s="34" t="e">
        <f>IF(#REF!,"AAAAAD3PTzg=",0)</f>
        <v>#REF!</v>
      </c>
      <c r="BF11" s="34" t="e">
        <f>IF(#REF!,"AAAAAD3PTzk=",0)</f>
        <v>#REF!</v>
      </c>
      <c r="BG11" s="34" t="e">
        <f>IF(#REF!,"AAAAAD3PTzo=",0)</f>
        <v>#REF!</v>
      </c>
      <c r="BH11" s="34" t="e">
        <f>IF(#REF!,"AAAAAD3PTzs=",0)</f>
        <v>#REF!</v>
      </c>
      <c r="BI11" s="34" t="e">
        <f>IF(#REF!,"AAAAAD3PTzw=",0)</f>
        <v>#REF!</v>
      </c>
      <c r="BJ11" s="34" t="e">
        <f>IF(#REF!,"AAAAAD3PTz0=",0)</f>
        <v>#REF!</v>
      </c>
      <c r="BK11" s="34" t="e">
        <f>IF(#REF!,"AAAAAD3PTz4=",0)</f>
        <v>#REF!</v>
      </c>
      <c r="BL11" s="34" t="e">
        <f>IF(#REF!,"AAAAAD3PTz8=",0)</f>
        <v>#REF!</v>
      </c>
      <c r="BM11" s="34" t="e">
        <f>IF(#REF!,"AAAAAD3PT0A=",0)</f>
        <v>#REF!</v>
      </c>
      <c r="BN11" s="34" t="e">
        <f>IF(#REF!,"AAAAAD3PT0E=",0)</f>
        <v>#REF!</v>
      </c>
      <c r="BO11" s="34" t="e">
        <f>IF(#REF!,"AAAAAD3PT0I=",0)</f>
        <v>#REF!</v>
      </c>
      <c r="BP11" s="34" t="e">
        <f>IF(#REF!,"AAAAAD3PT0M=",0)</f>
        <v>#REF!</v>
      </c>
      <c r="BQ11" s="34" t="e">
        <f>IF(#REF!,"AAAAAD3PT0Q=",0)</f>
        <v>#REF!</v>
      </c>
      <c r="BR11" s="34" t="e">
        <f>IF(#REF!,"AAAAAD3PT0U=",0)</f>
        <v>#REF!</v>
      </c>
      <c r="BS11" s="34" t="e">
        <f>IF(#REF!,"AAAAAD3PT0Y=",0)</f>
        <v>#REF!</v>
      </c>
      <c r="BT11" s="34" t="e">
        <f>IF(#REF!,"AAAAAD3PT0c=",0)</f>
        <v>#REF!</v>
      </c>
      <c r="BU11" s="34" t="e">
        <f>IF(#REF!,"AAAAAD3PT0g=",0)</f>
        <v>#REF!</v>
      </c>
      <c r="BV11" s="34" t="e">
        <f>IF(#REF!,"AAAAAD3PT0k=",0)</f>
        <v>#REF!</v>
      </c>
      <c r="BW11" s="34" t="e">
        <f>IF(#REF!,"AAAAAD3PT0o=",0)</f>
        <v>#REF!</v>
      </c>
      <c r="BX11" s="34" t="e">
        <f>IF(#REF!,"AAAAAD3PT0s=",0)</f>
        <v>#REF!</v>
      </c>
      <c r="BY11" s="34" t="e">
        <f>IF(#REF!,"AAAAAD3PT0w=",0)</f>
        <v>#REF!</v>
      </c>
      <c r="BZ11" s="34" t="e">
        <f>IF(#REF!,"AAAAAD3PT00=",0)</f>
        <v>#REF!</v>
      </c>
      <c r="CA11" s="34" t="e">
        <f>IF(#REF!,"AAAAAD3PT04=",0)</f>
        <v>#REF!</v>
      </c>
      <c r="CB11" s="34" t="e">
        <f>IF(#REF!,"AAAAAD3PT08=",0)</f>
        <v>#REF!</v>
      </c>
      <c r="CC11" s="34" t="e">
        <f>IF(#REF!,"AAAAAD3PT1A=",0)</f>
        <v>#REF!</v>
      </c>
      <c r="CD11" s="34" t="e">
        <f>IF(#REF!,"AAAAAD3PT1E=",0)</f>
        <v>#REF!</v>
      </c>
      <c r="CE11" s="34" t="e">
        <f>IF(#REF!,"AAAAAD3PT1I=",0)</f>
        <v>#REF!</v>
      </c>
      <c r="CF11" s="34" t="e">
        <f>IF(#REF!,"AAAAAD3PT1M=",0)</f>
        <v>#REF!</v>
      </c>
      <c r="CG11" s="34" t="e">
        <f>IF(#REF!,"AAAAAD3PT1Q=",0)</f>
        <v>#REF!</v>
      </c>
      <c r="CH11" s="34" t="e">
        <f>IF(#REF!,"AAAAAD3PT1U=",0)</f>
        <v>#REF!</v>
      </c>
      <c r="CI11" s="34" t="e">
        <f>IF(#REF!,"AAAAAD3PT1Y=",0)</f>
        <v>#REF!</v>
      </c>
      <c r="CJ11" s="34" t="e">
        <f>IF(#REF!,"AAAAAD3PT1c=",0)</f>
        <v>#REF!</v>
      </c>
      <c r="CK11" s="34" t="e">
        <f>IF(#REF!,"AAAAAD3PT1g=",0)</f>
        <v>#REF!</v>
      </c>
      <c r="CL11" s="34" t="e">
        <f>IF(#REF!,"AAAAAD3PT1k=",0)</f>
        <v>#REF!</v>
      </c>
      <c r="CM11" s="34" t="e">
        <f>IF(#REF!,"AAAAAD3PT1o=",0)</f>
        <v>#REF!</v>
      </c>
      <c r="CN11" s="34" t="e">
        <f>IF(#REF!,"AAAAAD3PT1s=",0)</f>
        <v>#REF!</v>
      </c>
      <c r="CO11" s="34" t="e">
        <f>IF(#REF!,"AAAAAD3PT1w=",0)</f>
        <v>#REF!</v>
      </c>
      <c r="CP11" s="34" t="e">
        <f>IF(#REF!,"AAAAAD3PT10=",0)</f>
        <v>#REF!</v>
      </c>
      <c r="CQ11" s="34" t="e">
        <f>IF(#REF!,"AAAAAD3PT14=",0)</f>
        <v>#REF!</v>
      </c>
      <c r="CR11" s="34" t="e">
        <f>IF(#REF!,"AAAAAD3PT18=",0)</f>
        <v>#REF!</v>
      </c>
      <c r="CS11" s="34" t="e">
        <f>IF(#REF!,"AAAAAD3PT2A=",0)</f>
        <v>#REF!</v>
      </c>
      <c r="CT11" s="34" t="e">
        <f>IF(#REF!,"AAAAAD3PT2E=",0)</f>
        <v>#REF!</v>
      </c>
      <c r="CU11" s="34" t="e">
        <f>IF(#REF!,"AAAAAD3PT2I=",0)</f>
        <v>#REF!</v>
      </c>
      <c r="CV11" s="34" t="e">
        <f>IF(#REF!,"AAAAAD3PT2M=",0)</f>
        <v>#REF!</v>
      </c>
      <c r="CW11" s="34" t="e">
        <f>IF(#REF!,"AAAAAD3PT2Q=",0)</f>
        <v>#REF!</v>
      </c>
      <c r="CX11" s="34" t="e">
        <f>IF(#REF!,"AAAAAD3PT2U=",0)</f>
        <v>#REF!</v>
      </c>
      <c r="CY11" s="34" t="e">
        <f>IF(#REF!,"AAAAAD3PT2Y=",0)</f>
        <v>#REF!</v>
      </c>
      <c r="CZ11" s="34" t="e">
        <f>IF(#REF!,"AAAAAD3PT2c=",0)</f>
        <v>#REF!</v>
      </c>
      <c r="DA11" s="34" t="e">
        <f>IF(#REF!,"AAAAAD3PT2g=",0)</f>
        <v>#REF!</v>
      </c>
      <c r="DB11" s="34" t="e">
        <f>IF(#REF!,"AAAAAD3PT2k=",0)</f>
        <v>#REF!</v>
      </c>
      <c r="DC11" s="34" t="e">
        <f>IF(#REF!,"AAAAAD3PT2o=",0)</f>
        <v>#REF!</v>
      </c>
      <c r="DD11" s="34" t="e">
        <f>IF(#REF!,"AAAAAD3PT2s=",0)</f>
        <v>#REF!</v>
      </c>
      <c r="DE11" s="34" t="e">
        <f>IF(#REF!,"AAAAAD3PT2w=",0)</f>
        <v>#REF!</v>
      </c>
      <c r="DF11" s="34" t="e">
        <f>IF(#REF!,"AAAAAD3PT20=",0)</f>
        <v>#REF!</v>
      </c>
      <c r="DG11" s="34" t="e">
        <f>IF(#REF!,"AAAAAD3PT24=",0)</f>
        <v>#REF!</v>
      </c>
      <c r="DH11" s="34" t="e">
        <f>IF(#REF!,"AAAAAD3PT28=",0)</f>
        <v>#REF!</v>
      </c>
      <c r="DI11" s="34" t="e">
        <f>IF(#REF!,"AAAAAD3PT3A=",0)</f>
        <v>#REF!</v>
      </c>
      <c r="DJ11" s="34" t="e">
        <f>IF(#REF!,"AAAAAD3PT3E=",0)</f>
        <v>#REF!</v>
      </c>
      <c r="DK11" s="34" t="e">
        <f>IF(#REF!,"AAAAAD3PT3I=",0)</f>
        <v>#REF!</v>
      </c>
      <c r="DL11" s="34" t="e">
        <f>IF(#REF!,"AAAAAD3PT3M=",0)</f>
        <v>#REF!</v>
      </c>
      <c r="DM11" s="34" t="e">
        <f>IF(#REF!,"AAAAAD3PT3Q=",0)</f>
        <v>#REF!</v>
      </c>
      <c r="DN11" s="34" t="e">
        <f>IF(#REF!,"AAAAAD3PT3U=",0)</f>
        <v>#REF!</v>
      </c>
      <c r="DO11" s="34" t="e">
        <f>IF(#REF!,"AAAAAD3PT3Y=",0)</f>
        <v>#REF!</v>
      </c>
      <c r="DP11" s="34" t="e">
        <f>IF(#REF!,"AAAAAD3PT3c=",0)</f>
        <v>#REF!</v>
      </c>
      <c r="DQ11" s="34" t="e">
        <f>IF(#REF!,"AAAAAD3PT3g=",0)</f>
        <v>#REF!</v>
      </c>
      <c r="DR11" s="34" t="e">
        <f>IF(#REF!,"AAAAAD3PT3k=",0)</f>
        <v>#REF!</v>
      </c>
      <c r="DS11" s="34" t="e">
        <f>IF(#REF!,"AAAAAD3PT3o=",0)</f>
        <v>#REF!</v>
      </c>
      <c r="DT11" s="34" t="e">
        <f>IF(#REF!,"AAAAAD3PT3s=",0)</f>
        <v>#REF!</v>
      </c>
      <c r="DU11" s="34" t="e">
        <f>IF(#REF!,"AAAAAD3PT3w=",0)</f>
        <v>#REF!</v>
      </c>
      <c r="DV11" s="34" t="e">
        <f>IF(#REF!,"AAAAAD3PT30=",0)</f>
        <v>#REF!</v>
      </c>
      <c r="DW11" s="34" t="e">
        <f>IF(#REF!,"AAAAAD3PT34=",0)</f>
        <v>#REF!</v>
      </c>
      <c r="DX11" s="34" t="e">
        <f>IF(#REF!,"AAAAAD3PT38=",0)</f>
        <v>#REF!</v>
      </c>
      <c r="DY11" s="34" t="e">
        <f>IF(#REF!,"AAAAAD3PT4A=",0)</f>
        <v>#REF!</v>
      </c>
      <c r="DZ11" s="34" t="e">
        <f>IF(#REF!,"AAAAAD3PT4E=",0)</f>
        <v>#REF!</v>
      </c>
      <c r="EA11" s="34" t="e">
        <f>IF(#REF!,"AAAAAD3PT4I=",0)</f>
        <v>#REF!</v>
      </c>
      <c r="EB11" s="34" t="e">
        <f>IF(#REF!,"AAAAAD3PT4M=",0)</f>
        <v>#REF!</v>
      </c>
      <c r="EC11" s="34" t="e">
        <f>IF(#REF!,"AAAAAD3PT4Q=",0)</f>
        <v>#REF!</v>
      </c>
      <c r="ED11" s="34" t="e">
        <f>IF(#REF!,"AAAAAD3PT4U=",0)</f>
        <v>#REF!</v>
      </c>
      <c r="EE11" s="34" t="e">
        <f>IF(#REF!,"AAAAAD3PT4Y=",0)</f>
        <v>#REF!</v>
      </c>
      <c r="EF11" s="34" t="e">
        <f>IF(#REF!,"AAAAAD3PT4c=",0)</f>
        <v>#REF!</v>
      </c>
      <c r="EG11" s="34" t="e">
        <f>IF(#REF!,"AAAAAD3PT4g=",0)</f>
        <v>#REF!</v>
      </c>
      <c r="EH11" s="34" t="e">
        <f>IF(#REF!,"AAAAAD3PT4k=",0)</f>
        <v>#REF!</v>
      </c>
      <c r="EI11" s="34" t="e">
        <f>IF(#REF!,"AAAAAD3PT4o=",0)</f>
        <v>#REF!</v>
      </c>
      <c r="EJ11" s="34" t="e">
        <f>IF(#REF!,"AAAAAD3PT4s=",0)</f>
        <v>#REF!</v>
      </c>
      <c r="EK11" s="34" t="e">
        <f>IF(#REF!,"AAAAAD3PT4w=",0)</f>
        <v>#REF!</v>
      </c>
      <c r="EL11" s="34" t="e">
        <f>IF(#REF!,"AAAAAD3PT40=",0)</f>
        <v>#REF!</v>
      </c>
      <c r="EM11" s="34" t="e">
        <f>IF(#REF!,"AAAAAD3PT44=",0)</f>
        <v>#REF!</v>
      </c>
      <c r="EN11" s="34" t="e">
        <f>IF(#REF!,"AAAAAD3PT48=",0)</f>
        <v>#REF!</v>
      </c>
      <c r="EO11" s="34" t="e">
        <f>IF(#REF!,"AAAAAD3PT5A=",0)</f>
        <v>#REF!</v>
      </c>
      <c r="EP11" s="34" t="e">
        <f>IF(#REF!,"AAAAAD3PT5E=",0)</f>
        <v>#REF!</v>
      </c>
      <c r="EQ11" s="34" t="e">
        <f>IF(#REF!,"AAAAAD3PT5I=",0)</f>
        <v>#REF!</v>
      </c>
      <c r="ER11" s="34" t="e">
        <f>IF(#REF!,"AAAAAD3PT5M=",0)</f>
        <v>#REF!</v>
      </c>
      <c r="ES11" s="34" t="e">
        <f>IF(#REF!,"AAAAAD3PT5Q=",0)</f>
        <v>#REF!</v>
      </c>
      <c r="ET11" s="34" t="e">
        <f>IF(#REF!,"AAAAAD3PT5U=",0)</f>
        <v>#REF!</v>
      </c>
      <c r="EU11" s="34" t="e">
        <f>IF(#REF!,"AAAAAD3PT5Y=",0)</f>
        <v>#REF!</v>
      </c>
      <c r="EV11" s="34" t="e">
        <f>IF(#REF!,"AAAAAD3PT5c=",0)</f>
        <v>#REF!</v>
      </c>
      <c r="EW11" s="34" t="e">
        <f>IF(#REF!,"AAAAAD3PT5g=",0)</f>
        <v>#REF!</v>
      </c>
      <c r="EX11" s="34" t="e">
        <f>IF(#REF!,"AAAAAD3PT5k=",0)</f>
        <v>#REF!</v>
      </c>
      <c r="EY11" s="34" t="e">
        <f>IF(#REF!,"AAAAAD3PT5o=",0)</f>
        <v>#REF!</v>
      </c>
      <c r="EZ11" s="34" t="e">
        <f>IF(#REF!,"AAAAAD3PT5s=",0)</f>
        <v>#REF!</v>
      </c>
      <c r="FA11" s="34" t="e">
        <f>IF(#REF!,"AAAAAD3PT5w=",0)</f>
        <v>#REF!</v>
      </c>
      <c r="FB11" s="34" t="e">
        <f>IF(#REF!,"AAAAAD3PT50=",0)</f>
        <v>#REF!</v>
      </c>
      <c r="FC11" s="34" t="e">
        <f>IF(#REF!,"AAAAAD3PT54=",0)</f>
        <v>#REF!</v>
      </c>
      <c r="FD11" s="34" t="e">
        <f>IF(#REF!,"AAAAAD3PT58=",0)</f>
        <v>#REF!</v>
      </c>
      <c r="FE11" s="34" t="e">
        <f>IF(#REF!,"AAAAAD3PT6A=",0)</f>
        <v>#REF!</v>
      </c>
      <c r="FF11" s="34" t="e">
        <f>IF(#REF!,"AAAAAD3PT6E=",0)</f>
        <v>#REF!</v>
      </c>
      <c r="FG11" s="34" t="e">
        <f>IF(#REF!,"AAAAAD3PT6I=",0)</f>
        <v>#REF!</v>
      </c>
      <c r="FH11" s="34" t="e">
        <f>IF(#REF!,"AAAAAD3PT6M=",0)</f>
        <v>#REF!</v>
      </c>
      <c r="FI11" s="34" t="e">
        <f>IF(#REF!,"AAAAAD3PT6Q=",0)</f>
        <v>#REF!</v>
      </c>
      <c r="FJ11" s="34" t="e">
        <f>IF(#REF!,"AAAAAD3PT6U=",0)</f>
        <v>#REF!</v>
      </c>
      <c r="FK11" s="34" t="e">
        <f>IF(#REF!,"AAAAAD3PT6Y=",0)</f>
        <v>#REF!</v>
      </c>
      <c r="FL11" s="34" t="e">
        <f>IF(#REF!,"AAAAAD3PT6c=",0)</f>
        <v>#REF!</v>
      </c>
      <c r="FM11" s="34" t="e">
        <f>IF(#REF!,"AAAAAD3PT6g=",0)</f>
        <v>#REF!</v>
      </c>
      <c r="FN11" s="34" t="e">
        <f>IF(#REF!,"AAAAAD3PT6k=",0)</f>
        <v>#REF!</v>
      </c>
      <c r="FO11" s="34" t="e">
        <f>IF(#REF!,"AAAAAD3PT6o=",0)</f>
        <v>#REF!</v>
      </c>
      <c r="FP11" s="34" t="e">
        <f>IF(#REF!,"AAAAAD3PT6s=",0)</f>
        <v>#REF!</v>
      </c>
      <c r="FQ11" s="34" t="e">
        <f>IF(#REF!,"AAAAAD3PT6w=",0)</f>
        <v>#REF!</v>
      </c>
      <c r="FR11" s="34" t="e">
        <f>IF(#REF!,"AAAAAD3PT60=",0)</f>
        <v>#REF!</v>
      </c>
      <c r="FS11" s="34" t="e">
        <f>IF(#REF!,"AAAAAD3PT64=",0)</f>
        <v>#REF!</v>
      </c>
      <c r="FT11" s="34" t="e">
        <f>IF(#REF!,"AAAAAD3PT68=",0)</f>
        <v>#REF!</v>
      </c>
      <c r="FU11" s="34" t="e">
        <f>IF(#REF!,"AAAAAD3PT7A=",0)</f>
        <v>#REF!</v>
      </c>
      <c r="FV11" s="34" t="e">
        <f>IF(#REF!,"AAAAAD3PT7E=",0)</f>
        <v>#REF!</v>
      </c>
      <c r="FW11" s="34" t="e">
        <f>IF(#REF!,"AAAAAD3PT7I=",0)</f>
        <v>#REF!</v>
      </c>
      <c r="FX11" s="34" t="e">
        <f>IF(#REF!,"AAAAAD3PT7M=",0)</f>
        <v>#REF!</v>
      </c>
      <c r="FY11" s="34" t="e">
        <f>IF(#REF!,"AAAAAD3PT7Q=",0)</f>
        <v>#REF!</v>
      </c>
      <c r="FZ11" s="34" t="e">
        <f>IF(#REF!,"AAAAAD3PT7U=",0)</f>
        <v>#REF!</v>
      </c>
      <c r="GA11" s="34" t="e">
        <f>IF(#REF!,"AAAAAD3PT7Y=",0)</f>
        <v>#REF!</v>
      </c>
      <c r="GB11" s="34" t="e">
        <f>IF(#REF!,"AAAAAD3PT7c=",0)</f>
        <v>#REF!</v>
      </c>
      <c r="GC11" s="34" t="e">
        <f>IF(#REF!,"AAAAAD3PT7g=",0)</f>
        <v>#REF!</v>
      </c>
      <c r="GD11" s="34" t="e">
        <f>IF(#REF!,"AAAAAD3PT7k=",0)</f>
        <v>#REF!</v>
      </c>
      <c r="GE11" s="34" t="e">
        <f>IF(#REF!,"AAAAAD3PT7o=",0)</f>
        <v>#REF!</v>
      </c>
      <c r="GF11" s="34" t="e">
        <f>IF(#REF!,"AAAAAD3PT7s=",0)</f>
        <v>#REF!</v>
      </c>
      <c r="GG11" s="34" t="e">
        <f>IF(#REF!,"AAAAAD3PT7w=",0)</f>
        <v>#REF!</v>
      </c>
      <c r="GH11" s="34" t="e">
        <f>IF(#REF!,"AAAAAD3PT70=",0)</f>
        <v>#REF!</v>
      </c>
      <c r="GI11" s="34" t="e">
        <f>IF(#REF!,"AAAAAD3PT74=",0)</f>
        <v>#REF!</v>
      </c>
      <c r="GJ11" s="34" t="e">
        <f>IF(#REF!,"AAAAAD3PT78=",0)</f>
        <v>#REF!</v>
      </c>
      <c r="GK11" s="34" t="e">
        <f>IF(#REF!,"AAAAAD3PT8A=",0)</f>
        <v>#REF!</v>
      </c>
      <c r="GL11" s="34" t="e">
        <f>IF(#REF!,"AAAAAD3PT8E=",0)</f>
        <v>#REF!</v>
      </c>
      <c r="GM11" s="34" t="e">
        <f>IF(#REF!,"AAAAAD3PT8I=",0)</f>
        <v>#REF!</v>
      </c>
      <c r="GN11" s="34" t="e">
        <f>IF(#REF!,"AAAAAD3PT8M=",0)</f>
        <v>#REF!</v>
      </c>
      <c r="GO11" s="34" t="e">
        <f>IF(#REF!,"AAAAAD3PT8Q=",0)</f>
        <v>#REF!</v>
      </c>
      <c r="GP11" s="34" t="e">
        <f>IF(#REF!,"AAAAAD3PT8U=",0)</f>
        <v>#REF!</v>
      </c>
      <c r="GQ11" s="34" t="e">
        <f>IF(#REF!,"AAAAAD3PT8Y=",0)</f>
        <v>#REF!</v>
      </c>
      <c r="GR11" s="34" t="e">
        <f>IF(#REF!,"AAAAAD3PT8c=",0)</f>
        <v>#REF!</v>
      </c>
      <c r="GS11" s="34" t="e">
        <f>IF(#REF!,"AAAAAD3PT8g=",0)</f>
        <v>#REF!</v>
      </c>
      <c r="GT11" s="34" t="e">
        <f>IF(#REF!,"AAAAAD3PT8k=",0)</f>
        <v>#REF!</v>
      </c>
      <c r="GU11" s="34" t="e">
        <f>IF(#REF!,"AAAAAD3PT8o=",0)</f>
        <v>#REF!</v>
      </c>
      <c r="GV11" s="34" t="e">
        <f>IF(#REF!,"AAAAAD3PT8s=",0)</f>
        <v>#REF!</v>
      </c>
      <c r="GW11" s="34" t="e">
        <f>IF(#REF!,"AAAAAD3PT8w=",0)</f>
        <v>#REF!</v>
      </c>
      <c r="GX11" s="34" t="e">
        <f>IF(#REF!,"AAAAAD3PT80=",0)</f>
        <v>#REF!</v>
      </c>
      <c r="GY11" s="34" t="e">
        <f>IF(#REF!,"AAAAAD3PT84=",0)</f>
        <v>#REF!</v>
      </c>
      <c r="GZ11" s="34" t="e">
        <f>IF(#REF!,"AAAAAD3PT88=",0)</f>
        <v>#REF!</v>
      </c>
      <c r="HA11" s="34" t="e">
        <f>IF(#REF!,"AAAAAD3PT9A=",0)</f>
        <v>#REF!</v>
      </c>
      <c r="HB11" s="34" t="e">
        <f>IF(#REF!,"AAAAAD3PT9E=",0)</f>
        <v>#REF!</v>
      </c>
      <c r="HC11" s="34" t="e">
        <f>IF(#REF!,"AAAAAD3PT9I=",0)</f>
        <v>#REF!</v>
      </c>
      <c r="HD11" s="34" t="e">
        <f>IF(#REF!,"AAAAAD3PT9M=",0)</f>
        <v>#REF!</v>
      </c>
      <c r="HE11" s="34" t="e">
        <f>IF(#REF!,"AAAAAD3PT9Q=",0)</f>
        <v>#REF!</v>
      </c>
      <c r="HF11" s="34" t="e">
        <f>IF(#REF!,"AAAAAD3PT9U=",0)</f>
        <v>#REF!</v>
      </c>
      <c r="HG11" s="34" t="e">
        <f>IF(#REF!,"AAAAAD3PT9Y=",0)</f>
        <v>#REF!</v>
      </c>
      <c r="HH11" s="34" t="e">
        <f>IF(#REF!,"AAAAAD3PT9c=",0)</f>
        <v>#REF!</v>
      </c>
      <c r="HI11" s="34" t="e">
        <f>IF(#REF!,"AAAAAD3PT9g=",0)</f>
        <v>#REF!</v>
      </c>
      <c r="HJ11" s="34" t="e">
        <f>IF(#REF!,"AAAAAD3PT9k=",0)</f>
        <v>#REF!</v>
      </c>
      <c r="HK11" s="34" t="e">
        <f>IF(#REF!,"AAAAAD3PT9o=",0)</f>
        <v>#REF!</v>
      </c>
      <c r="HL11" s="34" t="e">
        <f>IF(#REF!,"AAAAAD3PT9s=",0)</f>
        <v>#REF!</v>
      </c>
      <c r="HM11" s="34" t="e">
        <f>IF(#REF!,"AAAAAD3PT9w=",0)</f>
        <v>#REF!</v>
      </c>
      <c r="HN11" s="34" t="e">
        <f>IF(#REF!,"AAAAAD3PT90=",0)</f>
        <v>#REF!</v>
      </c>
      <c r="HO11" s="34" t="e">
        <f>IF(#REF!,"AAAAAD3PT94=",0)</f>
        <v>#REF!</v>
      </c>
      <c r="HP11" s="34" t="e">
        <f>IF(#REF!,"AAAAAD3PT98=",0)</f>
        <v>#REF!</v>
      </c>
      <c r="HQ11" s="34" t="e">
        <f>IF(#REF!,"AAAAAD3PT+A=",0)</f>
        <v>#REF!</v>
      </c>
      <c r="HR11" s="34" t="e">
        <f>IF(#REF!,"AAAAAD3PT+E=",0)</f>
        <v>#REF!</v>
      </c>
      <c r="HS11" s="34" t="e">
        <f>IF(#REF!,"AAAAAD3PT+I=",0)</f>
        <v>#REF!</v>
      </c>
      <c r="HT11" s="34" t="e">
        <f>IF(#REF!,"AAAAAD3PT+M=",0)</f>
        <v>#REF!</v>
      </c>
      <c r="HU11" s="34" t="e">
        <f>IF(#REF!,"AAAAAD3PT+Q=",0)</f>
        <v>#REF!</v>
      </c>
      <c r="HV11" s="34" t="e">
        <f>IF(#REF!,"AAAAAD3PT+U=",0)</f>
        <v>#REF!</v>
      </c>
      <c r="HW11" s="34" t="e">
        <f>IF(#REF!,"AAAAAD3PT+Y=",0)</f>
        <v>#REF!</v>
      </c>
      <c r="HX11" s="34" t="e">
        <f>IF(#REF!,"AAAAAD3PT+c=",0)</f>
        <v>#REF!</v>
      </c>
      <c r="HY11" s="34" t="e">
        <f>IF(#REF!,"AAAAAD3PT+g=",0)</f>
        <v>#REF!</v>
      </c>
      <c r="HZ11" s="34" t="e">
        <f>IF(#REF!,"AAAAAD3PT+k=",0)</f>
        <v>#REF!</v>
      </c>
      <c r="IA11" s="34" t="e">
        <f>IF(#REF!,"AAAAAD3PT+o=",0)</f>
        <v>#REF!</v>
      </c>
      <c r="IB11" s="34" t="e">
        <f>IF(#REF!,"AAAAAD3PT+s=",0)</f>
        <v>#REF!</v>
      </c>
      <c r="IC11" s="34" t="e">
        <f>IF(#REF!,"AAAAAD3PT+w=",0)</f>
        <v>#REF!</v>
      </c>
      <c r="ID11" s="34" t="e">
        <f>IF(#REF!,"AAAAAD3PT+0=",0)</f>
        <v>#REF!</v>
      </c>
      <c r="IE11" s="34" t="e">
        <f>IF(#REF!,"AAAAAD3PT+4=",0)</f>
        <v>#REF!</v>
      </c>
      <c r="IF11" s="34" t="e">
        <f>IF(#REF!,"AAAAAD3PT+8=",0)</f>
        <v>#REF!</v>
      </c>
      <c r="IG11" s="34" t="e">
        <f>IF(#REF!,"AAAAAD3PT/A=",0)</f>
        <v>#REF!</v>
      </c>
      <c r="IH11" s="34" t="e">
        <f>IF(#REF!,"AAAAAD3PT/E=",0)</f>
        <v>#REF!</v>
      </c>
      <c r="II11" s="34" t="e">
        <f>IF(#REF!,"AAAAAD3PT/I=",0)</f>
        <v>#REF!</v>
      </c>
      <c r="IJ11" s="34" t="e">
        <f>IF(#REF!,"AAAAAD3PT/M=",0)</f>
        <v>#REF!</v>
      </c>
      <c r="IK11" s="34" t="e">
        <f>IF(#REF!,"AAAAAD3PT/Q=",0)</f>
        <v>#REF!</v>
      </c>
      <c r="IL11" s="34" t="e">
        <f>IF(#REF!,"AAAAAD3PT/U=",0)</f>
        <v>#REF!</v>
      </c>
      <c r="IM11" s="34" t="e">
        <f>IF(#REF!,"AAAAAD3PT/Y=",0)</f>
        <v>#REF!</v>
      </c>
      <c r="IN11" s="34" t="e">
        <f>IF(#REF!,"AAAAAD3PT/c=",0)</f>
        <v>#REF!</v>
      </c>
      <c r="IO11" s="34" t="e">
        <f>IF(#REF!,"AAAAAD3PT/g=",0)</f>
        <v>#REF!</v>
      </c>
      <c r="IP11" s="34" t="e">
        <f>IF(#REF!,"AAAAAD3PT/k=",0)</f>
        <v>#REF!</v>
      </c>
      <c r="IQ11" s="34" t="e">
        <f>IF(#REF!,"AAAAAD3PT/o=",0)</f>
        <v>#REF!</v>
      </c>
      <c r="IR11" s="34" t="e">
        <f>IF(#REF!,"AAAAAD3PT/s=",0)</f>
        <v>#REF!</v>
      </c>
      <c r="IS11" s="34" t="e">
        <f>IF(#REF!,"AAAAAD3PT/w=",0)</f>
        <v>#REF!</v>
      </c>
      <c r="IT11" s="34" t="e">
        <f>IF(#REF!,"AAAAAD3PT/0=",0)</f>
        <v>#REF!</v>
      </c>
      <c r="IU11" s="34" t="e">
        <f>IF(#REF!,"AAAAAD3PT/4=",0)</f>
        <v>#REF!</v>
      </c>
      <c r="IV11" s="34" t="e">
        <f>IF(#REF!,"AAAAAD3PT/8=",0)</f>
        <v>#REF!</v>
      </c>
    </row>
    <row r="12" spans="1:256" ht="12.75" customHeight="1" x14ac:dyDescent="0.2">
      <c r="A12" s="34" t="e">
        <f>IF(#REF!,"AAAAAH7OxwA=",0)</f>
        <v>#REF!</v>
      </c>
      <c r="B12" s="34" t="e">
        <f>IF(#REF!,"AAAAAH7OxwE=",0)</f>
        <v>#REF!</v>
      </c>
      <c r="C12" s="34" t="e">
        <f>IF(#REF!,"AAAAAH7OxwI=",0)</f>
        <v>#REF!</v>
      </c>
      <c r="D12" s="34" t="e">
        <f>IF(#REF!,"AAAAAH7OxwM=",0)</f>
        <v>#REF!</v>
      </c>
      <c r="E12" s="34" t="e">
        <f>IF(#REF!,"AAAAAH7OxwQ=",0)</f>
        <v>#REF!</v>
      </c>
      <c r="F12" s="34" t="e">
        <f>IF(#REF!,"AAAAAH7OxwU=",0)</f>
        <v>#REF!</v>
      </c>
      <c r="G12" s="34" t="e">
        <f>IF(#REF!,"AAAAAH7OxwY=",0)</f>
        <v>#REF!</v>
      </c>
      <c r="H12" s="34" t="e">
        <f>IF(#REF!,"AAAAAH7Oxwc=",0)</f>
        <v>#REF!</v>
      </c>
      <c r="I12" s="34" t="e">
        <f>IF(#REF!,"AAAAAH7Oxwg=",0)</f>
        <v>#REF!</v>
      </c>
      <c r="J12" s="34" t="e">
        <f>IF(#REF!,"AAAAAH7Oxwk=",0)</f>
        <v>#REF!</v>
      </c>
      <c r="K12" s="34" t="e">
        <f>IF(#REF!,"AAAAAH7Oxwo=",0)</f>
        <v>#REF!</v>
      </c>
      <c r="L12" s="34" t="e">
        <f>IF(#REF!,"AAAAAH7Oxws=",0)</f>
        <v>#REF!</v>
      </c>
      <c r="M12" s="34" t="e">
        <f>IF(#REF!,"AAAAAH7Oxww=",0)</f>
        <v>#REF!</v>
      </c>
      <c r="N12" s="34" t="e">
        <f>IF(#REF!,"AAAAAH7Oxw0=",0)</f>
        <v>#REF!</v>
      </c>
      <c r="O12" s="34" t="e">
        <f>IF(#REF!,"AAAAAH7Oxw4=",0)</f>
        <v>#REF!</v>
      </c>
      <c r="P12" s="34" t="e">
        <f>IF(#REF!,"AAAAAH7Oxw8=",0)</f>
        <v>#REF!</v>
      </c>
      <c r="Q12" s="34" t="e">
        <f>IF(#REF!,"AAAAAH7OxxA=",0)</f>
        <v>#REF!</v>
      </c>
      <c r="R12" s="34" t="e">
        <f>IF(#REF!,"AAAAAH7OxxE=",0)</f>
        <v>#REF!</v>
      </c>
      <c r="S12" s="34" t="e">
        <f>IF(#REF!,"AAAAAH7OxxI=",0)</f>
        <v>#REF!</v>
      </c>
      <c r="T12" s="34" t="e">
        <f>IF(#REF!,"AAAAAH7OxxM=",0)</f>
        <v>#REF!</v>
      </c>
      <c r="U12" s="34" t="e">
        <f>IF(#REF!,"AAAAAH7OxxQ=",0)</f>
        <v>#REF!</v>
      </c>
      <c r="V12" s="34" t="e">
        <f>IF(#REF!,"AAAAAH7OxxU=",0)</f>
        <v>#REF!</v>
      </c>
      <c r="W12" s="34" t="e">
        <f>IF(#REF!,"AAAAAH7OxxY=",0)</f>
        <v>#REF!</v>
      </c>
      <c r="X12" s="34" t="e">
        <f>IF(#REF!,"AAAAAH7Oxxc=",0)</f>
        <v>#REF!</v>
      </c>
      <c r="Y12" s="34" t="e">
        <f>IF(#REF!,"AAAAAH7Oxxg=",0)</f>
        <v>#REF!</v>
      </c>
      <c r="Z12" s="34" t="e">
        <f>IF(#REF!,"AAAAAH7Oxxk=",0)</f>
        <v>#REF!</v>
      </c>
      <c r="AA12" s="34" t="e">
        <f>IF(#REF!,"AAAAAH7Oxxo=",0)</f>
        <v>#REF!</v>
      </c>
      <c r="AB12" s="34" t="e">
        <f>IF(#REF!,"AAAAAH7Oxxs=",0)</f>
        <v>#REF!</v>
      </c>
      <c r="AC12" s="34" t="e">
        <f>IF(#REF!,"AAAAAH7Oxxw=",0)</f>
        <v>#REF!</v>
      </c>
      <c r="AD12" s="34" t="e">
        <f>IF(#REF!,"AAAAAH7Oxx0=",0)</f>
        <v>#REF!</v>
      </c>
      <c r="AE12" s="34" t="e">
        <f>IF(#REF!,"AAAAAH7Oxx4=",0)</f>
        <v>#REF!</v>
      </c>
      <c r="AF12" s="34" t="e">
        <f>IF(#REF!,"AAAAAH7Oxx8=",0)</f>
        <v>#REF!</v>
      </c>
      <c r="AG12" s="34" t="e">
        <f>IF(#REF!,"AAAAAH7OxyA=",0)</f>
        <v>#REF!</v>
      </c>
      <c r="AH12" s="34" t="e">
        <f>IF(#REF!,"AAAAAH7OxyE=",0)</f>
        <v>#REF!</v>
      </c>
      <c r="AI12" s="34" t="e">
        <f>IF(#REF!,"AAAAAH7OxyI=",0)</f>
        <v>#REF!</v>
      </c>
      <c r="AJ12" s="34" t="e">
        <f>IF(#REF!,"AAAAAH7OxyM=",0)</f>
        <v>#REF!</v>
      </c>
      <c r="AK12" s="34" t="e">
        <f>IF(#REF!,"AAAAAH7OxyQ=",0)</f>
        <v>#REF!</v>
      </c>
      <c r="AL12" s="34" t="e">
        <f>IF(#REF!,"AAAAAH7OxyU=",0)</f>
        <v>#REF!</v>
      </c>
      <c r="AM12" s="34" t="e">
        <f>IF(#REF!,"AAAAAH7OxyY=",0)</f>
        <v>#REF!</v>
      </c>
      <c r="AN12" s="34" t="e">
        <f>IF(#REF!,"AAAAAH7Oxyc=",0)</f>
        <v>#REF!</v>
      </c>
      <c r="AO12" s="34" t="e">
        <f>IF(#REF!,"AAAAAH7Oxyg=",0)</f>
        <v>#REF!</v>
      </c>
      <c r="AP12" s="34" t="e">
        <f>IF(#REF!,"AAAAAH7Oxyk=",0)</f>
        <v>#REF!</v>
      </c>
      <c r="AQ12" s="34" t="e">
        <f>IF(#REF!,"AAAAAH7Oxyo=",0)</f>
        <v>#REF!</v>
      </c>
      <c r="AR12" s="34" t="e">
        <f>IF(#REF!,"AAAAAH7Oxys=",0)</f>
        <v>#REF!</v>
      </c>
      <c r="AS12" s="34" t="e">
        <f>IF(#REF!,"AAAAAH7Oxyw=",0)</f>
        <v>#REF!</v>
      </c>
      <c r="AT12" s="34" t="e">
        <f>IF(#REF!,"AAAAAH7Oxy0=",0)</f>
        <v>#REF!</v>
      </c>
      <c r="AU12" s="34" t="e">
        <f>IF(#REF!,"AAAAAH7Oxy4=",0)</f>
        <v>#REF!</v>
      </c>
      <c r="AV12" s="34" t="e">
        <f>IF(#REF!,"AAAAAH7Oxy8=",0)</f>
        <v>#REF!</v>
      </c>
      <c r="AW12" s="34" t="e">
        <f>IF(#REF!,"AAAAAH7OxzA=",0)</f>
        <v>#REF!</v>
      </c>
      <c r="AX12" s="34" t="e">
        <f>IF(#REF!,"AAAAAH7OxzE=",0)</f>
        <v>#REF!</v>
      </c>
      <c r="AY12" s="34" t="e">
        <f>IF(#REF!,"AAAAAH7OxzI=",0)</f>
        <v>#REF!</v>
      </c>
      <c r="AZ12" s="34" t="e">
        <f>IF(#REF!,"AAAAAH7OxzM=",0)</f>
        <v>#REF!</v>
      </c>
      <c r="BA12" s="34" t="e">
        <f>IF(#REF!,"AAAAAH7OxzQ=",0)</f>
        <v>#REF!</v>
      </c>
      <c r="BB12" s="34" t="e">
        <f>IF(#REF!,"AAAAAH7OxzU=",0)</f>
        <v>#REF!</v>
      </c>
      <c r="BC12" s="34" t="e">
        <f>IF(#REF!,"AAAAAH7OxzY=",0)</f>
        <v>#REF!</v>
      </c>
      <c r="BD12" s="34" t="e">
        <f>IF(#REF!,"AAAAAH7Oxzc=",0)</f>
        <v>#REF!</v>
      </c>
      <c r="BE12" s="34" t="e">
        <f>IF(#REF!,"AAAAAH7Oxzg=",0)</f>
        <v>#REF!</v>
      </c>
      <c r="BF12" s="34" t="e">
        <f>AND(#REF!,"AAAAAH7Oxzk=")</f>
        <v>#REF!</v>
      </c>
      <c r="BG12" s="34" t="e">
        <f>AND(#REF!,"AAAAAH7Oxzo=")</f>
        <v>#REF!</v>
      </c>
      <c r="BH12" s="34" t="e">
        <f>AND(#REF!,"AAAAAH7Oxzs=")</f>
        <v>#REF!</v>
      </c>
      <c r="BI12" s="34" t="e">
        <f>AND(#REF!,"AAAAAH7Oxzw=")</f>
        <v>#REF!</v>
      </c>
      <c r="BJ12" s="34" t="e">
        <f>AND(#REF!,"AAAAAH7Oxz0=")</f>
        <v>#REF!</v>
      </c>
      <c r="BK12" s="34" t="e">
        <f>AND(#REF!,"AAAAAH7Oxz4=")</f>
        <v>#REF!</v>
      </c>
      <c r="BL12" s="34" t="e">
        <f>AND(#REF!,"AAAAAH7Oxz8=")</f>
        <v>#REF!</v>
      </c>
      <c r="BM12" s="34" t="e">
        <f>AND(#REF!,"AAAAAH7Ox0A=")</f>
        <v>#REF!</v>
      </c>
      <c r="BN12" s="34" t="e">
        <f>AND(#REF!,"AAAAAH7Ox0E=")</f>
        <v>#REF!</v>
      </c>
      <c r="BO12" s="34" t="e">
        <f>AND(#REF!,"AAAAAH7Ox0I=")</f>
        <v>#REF!</v>
      </c>
      <c r="BP12" s="34" t="e">
        <f>AND(#REF!,"AAAAAH7Ox0M=")</f>
        <v>#REF!</v>
      </c>
      <c r="BQ12" s="34" t="e">
        <f>AND(#REF!,"AAAAAH7Ox0Q=")</f>
        <v>#REF!</v>
      </c>
      <c r="BR12" s="34" t="e">
        <f>AND(#REF!,"AAAAAH7Ox0U=")</f>
        <v>#REF!</v>
      </c>
      <c r="BS12" s="34" t="e">
        <f>AND(#REF!,"AAAAAH7Ox0Y=")</f>
        <v>#REF!</v>
      </c>
      <c r="BT12" s="34" t="e">
        <f>AND(#REF!,"AAAAAH7Ox0c=")</f>
        <v>#REF!</v>
      </c>
      <c r="BU12" s="34" t="e">
        <f>AND(#REF!,"AAAAAH7Ox0g=")</f>
        <v>#REF!</v>
      </c>
      <c r="BV12" s="34" t="e">
        <f>AND(#REF!,"AAAAAH7Ox0k=")</f>
        <v>#REF!</v>
      </c>
      <c r="BW12" s="34" t="e">
        <f>AND(#REF!,"AAAAAH7Ox0o=")</f>
        <v>#REF!</v>
      </c>
      <c r="BX12" s="34" t="e">
        <f>AND(#REF!,"AAAAAH7Ox0s=")</f>
        <v>#REF!</v>
      </c>
      <c r="BY12" s="34" t="e">
        <f>AND(#REF!,"AAAAAH7Ox0w=")</f>
        <v>#REF!</v>
      </c>
      <c r="BZ12" s="34" t="e">
        <f>AND(#REF!,"AAAAAH7Ox00=")</f>
        <v>#REF!</v>
      </c>
      <c r="CA12" s="34" t="e">
        <f>AND(#REF!,"AAAAAH7Ox04=")</f>
        <v>#REF!</v>
      </c>
      <c r="CB12" s="34" t="e">
        <f>AND(#REF!,"AAAAAH7Ox08=")</f>
        <v>#REF!</v>
      </c>
      <c r="CC12" s="34" t="e">
        <f>AND(#REF!,"AAAAAH7Ox1A=")</f>
        <v>#REF!</v>
      </c>
      <c r="CD12" s="34" t="e">
        <f>AND(#REF!,"AAAAAH7Ox1E=")</f>
        <v>#REF!</v>
      </c>
      <c r="CE12" s="34" t="e">
        <f>AND(#REF!,"AAAAAH7Ox1I=")</f>
        <v>#REF!</v>
      </c>
      <c r="CF12" s="34" t="e">
        <f>AND(#REF!,"AAAAAH7Ox1M=")</f>
        <v>#REF!</v>
      </c>
      <c r="CG12" s="34" t="e">
        <f>AND(#REF!,"AAAAAH7Ox1Q=")</f>
        <v>#REF!</v>
      </c>
      <c r="CH12" s="34" t="e">
        <f>AND(#REF!,"AAAAAH7Ox1U=")</f>
        <v>#REF!</v>
      </c>
      <c r="CI12" s="34" t="e">
        <f>AND(#REF!,"AAAAAH7Ox1Y=")</f>
        <v>#REF!</v>
      </c>
      <c r="CJ12" s="34" t="e">
        <f>AND(#REF!,"AAAAAH7Ox1c=")</f>
        <v>#REF!</v>
      </c>
      <c r="CK12" s="34" t="e">
        <f>AND(#REF!,"AAAAAH7Ox1g=")</f>
        <v>#REF!</v>
      </c>
      <c r="CL12" s="34" t="e">
        <f>AND(#REF!,"AAAAAH7Ox1k=")</f>
        <v>#REF!</v>
      </c>
      <c r="CM12" s="34" t="e">
        <f>AND(#REF!,"AAAAAH7Ox1o=")</f>
        <v>#REF!</v>
      </c>
      <c r="CN12" s="34" t="e">
        <f>AND(#REF!,"AAAAAH7Ox1s=")</f>
        <v>#REF!</v>
      </c>
      <c r="CO12" s="34" t="e">
        <f>AND(#REF!,"AAAAAH7Ox1w=")</f>
        <v>#REF!</v>
      </c>
      <c r="CP12" s="34" t="e">
        <f>AND(#REF!,"AAAAAH7Ox10=")</f>
        <v>#REF!</v>
      </c>
      <c r="CQ12" s="34" t="e">
        <f>AND(#REF!,"AAAAAH7Ox14=")</f>
        <v>#REF!</v>
      </c>
      <c r="CR12" s="34" t="e">
        <f>AND(#REF!,"AAAAAH7Ox18=")</f>
        <v>#REF!</v>
      </c>
      <c r="CS12" s="34" t="e">
        <f>AND(#REF!,"AAAAAH7Ox2A=")</f>
        <v>#REF!</v>
      </c>
      <c r="CT12" s="34" t="e">
        <f>AND(#REF!,"AAAAAH7Ox2E=")</f>
        <v>#REF!</v>
      </c>
      <c r="CU12" s="34" t="e">
        <f>AND(#REF!,"AAAAAH7Ox2I=")</f>
        <v>#REF!</v>
      </c>
      <c r="CV12" s="34" t="e">
        <f>AND(#REF!,"AAAAAH7Ox2M=")</f>
        <v>#REF!</v>
      </c>
      <c r="CW12" s="34" t="e">
        <f>AND(#REF!,"AAAAAH7Ox2Q=")</f>
        <v>#REF!</v>
      </c>
      <c r="CX12" s="34" t="e">
        <f>AND(#REF!,"AAAAAH7Ox2U=")</f>
        <v>#REF!</v>
      </c>
      <c r="CY12" s="34" t="e">
        <f>AND(#REF!,"AAAAAH7Ox2Y=")</f>
        <v>#REF!</v>
      </c>
      <c r="CZ12" s="34" t="e">
        <f>AND(#REF!,"AAAAAH7Ox2c=")</f>
        <v>#REF!</v>
      </c>
      <c r="DA12" s="34" t="e">
        <f>AND(#REF!,"AAAAAH7Ox2g=")</f>
        <v>#REF!</v>
      </c>
      <c r="DB12" s="34" t="e">
        <f>AND(#REF!,"AAAAAH7Ox2k=")</f>
        <v>#REF!</v>
      </c>
      <c r="DC12" s="34" t="e">
        <f>AND(#REF!,"AAAAAH7Ox2o=")</f>
        <v>#REF!</v>
      </c>
      <c r="DD12" s="34" t="e">
        <f>AND(#REF!,"AAAAAH7Ox2s=")</f>
        <v>#REF!</v>
      </c>
      <c r="DE12" s="34" t="e">
        <f>AND(#REF!,"AAAAAH7Ox2w=")</f>
        <v>#REF!</v>
      </c>
      <c r="DF12" s="34" t="e">
        <f>AND(#REF!,"AAAAAH7Ox20=")</f>
        <v>#REF!</v>
      </c>
      <c r="DG12" s="34" t="e">
        <f>AND(#REF!,"AAAAAH7Ox24=")</f>
        <v>#REF!</v>
      </c>
      <c r="DH12" s="34" t="e">
        <f>AND(#REF!,"AAAAAH7Ox28=")</f>
        <v>#REF!</v>
      </c>
      <c r="DI12" s="34" t="e">
        <f>AND(#REF!,"AAAAAH7Ox3A=")</f>
        <v>#REF!</v>
      </c>
      <c r="DJ12" s="34" t="e">
        <f>AND(#REF!,"AAAAAH7Ox3E=")</f>
        <v>#REF!</v>
      </c>
      <c r="DK12" s="34" t="e">
        <f>AND(#REF!,"AAAAAH7Ox3I=")</f>
        <v>#REF!</v>
      </c>
      <c r="DL12" s="34" t="e">
        <f>AND(#REF!,"AAAAAH7Ox3M=")</f>
        <v>#REF!</v>
      </c>
      <c r="DM12" s="34" t="e">
        <f>AND(#REF!,"AAAAAH7Ox3Q=")</f>
        <v>#REF!</v>
      </c>
      <c r="DN12" s="34" t="e">
        <f>AND(#REF!,"AAAAAH7Ox3U=")</f>
        <v>#REF!</v>
      </c>
      <c r="DO12" s="34" t="e">
        <f>AND(#REF!,"AAAAAH7Ox3Y=")</f>
        <v>#REF!</v>
      </c>
      <c r="DP12" s="34" t="e">
        <f>AND(#REF!,"AAAAAH7Ox3c=")</f>
        <v>#REF!</v>
      </c>
      <c r="DQ12" s="34" t="e">
        <f>AND(#REF!,"AAAAAH7Ox3g=")</f>
        <v>#REF!</v>
      </c>
      <c r="DR12" s="34" t="e">
        <f>AND(#REF!,"AAAAAH7Ox3k=")</f>
        <v>#REF!</v>
      </c>
      <c r="DS12" s="34" t="e">
        <f>AND(#REF!,"AAAAAH7Ox3o=")</f>
        <v>#REF!</v>
      </c>
      <c r="DT12" s="34" t="e">
        <f>AND(#REF!,"AAAAAH7Ox3s=")</f>
        <v>#REF!</v>
      </c>
      <c r="DU12" s="34" t="e">
        <f>AND(#REF!,"AAAAAH7Ox3w=")</f>
        <v>#REF!</v>
      </c>
      <c r="DV12" s="34" t="e">
        <f>AND(#REF!,"AAAAAH7Ox30=")</f>
        <v>#REF!</v>
      </c>
      <c r="DW12" s="34" t="e">
        <f>AND(#REF!,"AAAAAH7Ox34=")</f>
        <v>#REF!</v>
      </c>
      <c r="DX12" s="34" t="e">
        <f>AND(#REF!,"AAAAAH7Ox38=")</f>
        <v>#REF!</v>
      </c>
      <c r="DY12" s="34" t="e">
        <f>AND(#REF!,"AAAAAH7Ox4A=")</f>
        <v>#REF!</v>
      </c>
      <c r="DZ12" s="34" t="e">
        <f>IF(#REF!,"AAAAAH7Ox4E=",0)</f>
        <v>#REF!</v>
      </c>
      <c r="EA12" s="34" t="e">
        <f>AND(#REF!,"AAAAAH7Ox4I=")</f>
        <v>#REF!</v>
      </c>
      <c r="EB12" s="34" t="e">
        <f>AND(#REF!,"AAAAAH7Ox4M=")</f>
        <v>#REF!</v>
      </c>
      <c r="EC12" s="34" t="e">
        <f>AND(#REF!,"AAAAAH7Ox4Q=")</f>
        <v>#REF!</v>
      </c>
      <c r="ED12" s="34" t="e">
        <f>AND(#REF!,"AAAAAH7Ox4U=")</f>
        <v>#REF!</v>
      </c>
      <c r="EE12" s="34" t="e">
        <f>AND(#REF!,"AAAAAH7Ox4Y=")</f>
        <v>#REF!</v>
      </c>
      <c r="EF12" s="34" t="e">
        <f>AND(#REF!,"AAAAAH7Ox4c=")</f>
        <v>#REF!</v>
      </c>
      <c r="EG12" s="34" t="e">
        <f>AND(#REF!,"AAAAAH7Ox4g=")</f>
        <v>#REF!</v>
      </c>
      <c r="EH12" s="34" t="e">
        <f>AND(#REF!,"AAAAAH7Ox4k=")</f>
        <v>#REF!</v>
      </c>
      <c r="EI12" s="34" t="e">
        <f>AND(#REF!,"AAAAAH7Ox4o=")</f>
        <v>#REF!</v>
      </c>
      <c r="EJ12" s="34" t="e">
        <f>AND(#REF!,"AAAAAH7Ox4s=")</f>
        <v>#REF!</v>
      </c>
      <c r="EK12" s="34" t="e">
        <f>AND(#REF!,"AAAAAH7Ox4w=")</f>
        <v>#REF!</v>
      </c>
      <c r="EL12" s="34" t="e">
        <f>AND(#REF!,"AAAAAH7Ox40=")</f>
        <v>#REF!</v>
      </c>
      <c r="EM12" s="34" t="e">
        <f>AND(#REF!,"AAAAAH7Ox44=")</f>
        <v>#REF!</v>
      </c>
      <c r="EN12" s="34" t="e">
        <f>AND(#REF!,"AAAAAH7Ox48=")</f>
        <v>#REF!</v>
      </c>
      <c r="EO12" s="34" t="e">
        <f>AND(#REF!,"AAAAAH7Ox5A=")</f>
        <v>#REF!</v>
      </c>
      <c r="EP12" s="34" t="e">
        <f>AND(#REF!,"AAAAAH7Ox5E=")</f>
        <v>#REF!</v>
      </c>
      <c r="EQ12" s="34" t="e">
        <f>AND(#REF!,"AAAAAH7Ox5I=")</f>
        <v>#REF!</v>
      </c>
      <c r="ER12" s="34" t="e">
        <f>AND(#REF!,"AAAAAH7Ox5M=")</f>
        <v>#REF!</v>
      </c>
      <c r="ES12" s="34" t="e">
        <f>AND(#REF!,"AAAAAH7Ox5Q=")</f>
        <v>#REF!</v>
      </c>
      <c r="ET12" s="34" t="e">
        <f>AND(#REF!,"AAAAAH7Ox5U=")</f>
        <v>#REF!</v>
      </c>
      <c r="EU12" s="34" t="e">
        <f>AND(#REF!,"AAAAAH7Ox5Y=")</f>
        <v>#REF!</v>
      </c>
      <c r="EV12" s="34" t="e">
        <f>AND(#REF!,"AAAAAH7Ox5c=")</f>
        <v>#REF!</v>
      </c>
      <c r="EW12" s="34" t="e">
        <f>AND(#REF!,"AAAAAH7Ox5g=")</f>
        <v>#REF!</v>
      </c>
      <c r="EX12" s="34" t="e">
        <f>AND(#REF!,"AAAAAH7Ox5k=")</f>
        <v>#REF!</v>
      </c>
      <c r="EY12" s="34" t="e">
        <f>AND(#REF!,"AAAAAH7Ox5o=")</f>
        <v>#REF!</v>
      </c>
      <c r="EZ12" s="34" t="e">
        <f>AND(#REF!,"AAAAAH7Ox5s=")</f>
        <v>#REF!</v>
      </c>
      <c r="FA12" s="34" t="e">
        <f>AND(#REF!,"AAAAAH7Ox5w=")</f>
        <v>#REF!</v>
      </c>
      <c r="FB12" s="34" t="e">
        <f>AND(#REF!,"AAAAAH7Ox50=")</f>
        <v>#REF!</v>
      </c>
      <c r="FC12" s="34" t="e">
        <f>AND(#REF!,"AAAAAH7Ox54=")</f>
        <v>#REF!</v>
      </c>
      <c r="FD12" s="34" t="e">
        <f>AND(#REF!,"AAAAAH7Ox58=")</f>
        <v>#REF!</v>
      </c>
      <c r="FE12" s="34" t="e">
        <f>AND(#REF!,"AAAAAH7Ox6A=")</f>
        <v>#REF!</v>
      </c>
      <c r="FF12" s="34" t="e">
        <f>AND(#REF!,"AAAAAH7Ox6E=")</f>
        <v>#REF!</v>
      </c>
      <c r="FG12" s="34" t="e">
        <f>AND(#REF!,"AAAAAH7Ox6I=")</f>
        <v>#REF!</v>
      </c>
      <c r="FH12" s="34" t="e">
        <f>AND(#REF!,"AAAAAH7Ox6M=")</f>
        <v>#REF!</v>
      </c>
      <c r="FI12" s="34" t="e">
        <f>AND(#REF!,"AAAAAH7Ox6Q=")</f>
        <v>#REF!</v>
      </c>
      <c r="FJ12" s="34" t="e">
        <f>AND(#REF!,"AAAAAH7Ox6U=")</f>
        <v>#REF!</v>
      </c>
      <c r="FK12" s="34" t="e">
        <f>AND(#REF!,"AAAAAH7Ox6Y=")</f>
        <v>#REF!</v>
      </c>
      <c r="FL12" s="34" t="e">
        <f>AND(#REF!,"AAAAAH7Ox6c=")</f>
        <v>#REF!</v>
      </c>
      <c r="FM12" s="34" t="e">
        <f>AND(#REF!,"AAAAAH7Ox6g=")</f>
        <v>#REF!</v>
      </c>
      <c r="FN12" s="34" t="e">
        <f>AND(#REF!,"AAAAAH7Ox6k=")</f>
        <v>#REF!</v>
      </c>
      <c r="FO12" s="34" t="e">
        <f>AND(#REF!,"AAAAAH7Ox6o=")</f>
        <v>#REF!</v>
      </c>
      <c r="FP12" s="34" t="e">
        <f>AND(#REF!,"AAAAAH7Ox6s=")</f>
        <v>#REF!</v>
      </c>
      <c r="FQ12" s="34" t="e">
        <f>AND(#REF!,"AAAAAH7Ox6w=")</f>
        <v>#REF!</v>
      </c>
      <c r="FR12" s="34" t="e">
        <f>AND(#REF!,"AAAAAH7Ox60=")</f>
        <v>#REF!</v>
      </c>
      <c r="FS12" s="34" t="e">
        <f>AND(#REF!,"AAAAAH7Ox64=")</f>
        <v>#REF!</v>
      </c>
      <c r="FT12" s="34" t="e">
        <f>AND(#REF!,"AAAAAH7Ox68=")</f>
        <v>#REF!</v>
      </c>
      <c r="FU12" s="34" t="e">
        <f>AND(#REF!,"AAAAAH7Ox7A=")</f>
        <v>#REF!</v>
      </c>
      <c r="FV12" s="34" t="e">
        <f>AND(#REF!,"AAAAAH7Ox7E=")</f>
        <v>#REF!</v>
      </c>
      <c r="FW12" s="34" t="e">
        <f>AND(#REF!,"AAAAAH7Ox7I=")</f>
        <v>#REF!</v>
      </c>
      <c r="FX12" s="34" t="e">
        <f>AND(#REF!,"AAAAAH7Ox7M=")</f>
        <v>#REF!</v>
      </c>
      <c r="FY12" s="34" t="e">
        <f>AND(#REF!,"AAAAAH7Ox7Q=")</f>
        <v>#REF!</v>
      </c>
      <c r="FZ12" s="34" t="e">
        <f>AND(#REF!,"AAAAAH7Ox7U=")</f>
        <v>#REF!</v>
      </c>
      <c r="GA12" s="34" t="e">
        <f>AND(#REF!,"AAAAAH7Ox7Y=")</f>
        <v>#REF!</v>
      </c>
      <c r="GB12" s="34" t="e">
        <f>AND(#REF!,"AAAAAH7Ox7c=")</f>
        <v>#REF!</v>
      </c>
      <c r="GC12" s="34" t="e">
        <f>AND(#REF!,"AAAAAH7Ox7g=")</f>
        <v>#REF!</v>
      </c>
      <c r="GD12" s="34" t="e">
        <f>AND(#REF!,"AAAAAH7Ox7k=")</f>
        <v>#REF!</v>
      </c>
      <c r="GE12" s="34" t="e">
        <f>AND(#REF!,"AAAAAH7Ox7o=")</f>
        <v>#REF!</v>
      </c>
      <c r="GF12" s="34" t="e">
        <f>AND(#REF!,"AAAAAH7Ox7s=")</f>
        <v>#REF!</v>
      </c>
      <c r="GG12" s="34" t="e">
        <f>AND(#REF!,"AAAAAH7Ox7w=")</f>
        <v>#REF!</v>
      </c>
      <c r="GH12" s="34" t="e">
        <f>AND(#REF!,"AAAAAH7Ox70=")</f>
        <v>#REF!</v>
      </c>
      <c r="GI12" s="34" t="e">
        <f>AND(#REF!,"AAAAAH7Ox74=")</f>
        <v>#REF!</v>
      </c>
      <c r="GJ12" s="34" t="e">
        <f>AND(#REF!,"AAAAAH7Ox78=")</f>
        <v>#REF!</v>
      </c>
      <c r="GK12" s="34" t="e">
        <f>AND(#REF!,"AAAAAH7Ox8A=")</f>
        <v>#REF!</v>
      </c>
      <c r="GL12" s="34" t="e">
        <f>AND(#REF!,"AAAAAH7Ox8E=")</f>
        <v>#REF!</v>
      </c>
      <c r="GM12" s="34" t="e">
        <f>AND(#REF!,"AAAAAH7Ox8I=")</f>
        <v>#REF!</v>
      </c>
      <c r="GN12" s="34" t="e">
        <f>AND(#REF!,"AAAAAH7Ox8M=")</f>
        <v>#REF!</v>
      </c>
      <c r="GO12" s="34" t="e">
        <f>AND(#REF!,"AAAAAH7Ox8Q=")</f>
        <v>#REF!</v>
      </c>
      <c r="GP12" s="34" t="e">
        <f>AND(#REF!,"AAAAAH7Ox8U=")</f>
        <v>#REF!</v>
      </c>
      <c r="GQ12" s="34" t="e">
        <f>AND(#REF!,"AAAAAH7Ox8Y=")</f>
        <v>#REF!</v>
      </c>
      <c r="GR12" s="34" t="e">
        <f>AND(#REF!,"AAAAAH7Ox8c=")</f>
        <v>#REF!</v>
      </c>
      <c r="GS12" s="34" t="e">
        <f>AND(#REF!,"AAAAAH7Ox8g=")</f>
        <v>#REF!</v>
      </c>
      <c r="GT12" s="34" t="e">
        <f>AND(#REF!,"AAAAAH7Ox8k=")</f>
        <v>#REF!</v>
      </c>
      <c r="GU12" s="34" t="e">
        <f>IF(#REF!,"AAAAAH7Ox8o=",0)</f>
        <v>#REF!</v>
      </c>
      <c r="GV12" s="34" t="e">
        <f>AND(#REF!,"AAAAAH7Ox8s=")</f>
        <v>#REF!</v>
      </c>
      <c r="GW12" s="34" t="e">
        <f>AND(#REF!,"AAAAAH7Ox8w=")</f>
        <v>#REF!</v>
      </c>
      <c r="GX12" s="34" t="e">
        <f>AND(#REF!,"AAAAAH7Ox80=")</f>
        <v>#REF!</v>
      </c>
      <c r="GY12" s="34" t="e">
        <f>AND(#REF!,"AAAAAH7Ox84=")</f>
        <v>#REF!</v>
      </c>
      <c r="GZ12" s="34" t="e">
        <f>AND(#REF!,"AAAAAH7Ox88=")</f>
        <v>#REF!</v>
      </c>
      <c r="HA12" s="34" t="e">
        <f>AND(#REF!,"AAAAAH7Ox9A=")</f>
        <v>#REF!</v>
      </c>
      <c r="HB12" s="34" t="e">
        <f>AND(#REF!,"AAAAAH7Ox9E=")</f>
        <v>#REF!</v>
      </c>
      <c r="HC12" s="34" t="e">
        <f>AND(#REF!,"AAAAAH7Ox9I=")</f>
        <v>#REF!</v>
      </c>
      <c r="HD12" s="34" t="e">
        <f>AND(#REF!,"AAAAAH7Ox9M=")</f>
        <v>#REF!</v>
      </c>
      <c r="HE12" s="34" t="e">
        <f>AND(#REF!,"AAAAAH7Ox9Q=")</f>
        <v>#REF!</v>
      </c>
      <c r="HF12" s="34" t="e">
        <f>AND(#REF!,"AAAAAH7Ox9U=")</f>
        <v>#REF!</v>
      </c>
      <c r="HG12" s="34" t="e">
        <f>AND(#REF!,"AAAAAH7Ox9Y=")</f>
        <v>#REF!</v>
      </c>
      <c r="HH12" s="34" t="e">
        <f>AND(#REF!,"AAAAAH7Ox9c=")</f>
        <v>#REF!</v>
      </c>
      <c r="HI12" s="34" t="e">
        <f>AND(#REF!,"AAAAAH7Ox9g=")</f>
        <v>#REF!</v>
      </c>
      <c r="HJ12" s="34" t="e">
        <f>AND(#REF!,"AAAAAH7Ox9k=")</f>
        <v>#REF!</v>
      </c>
      <c r="HK12" s="34" t="e">
        <f>AND(#REF!,"AAAAAH7Ox9o=")</f>
        <v>#REF!</v>
      </c>
      <c r="HL12" s="34" t="e">
        <f>AND(#REF!,"AAAAAH7Ox9s=")</f>
        <v>#REF!</v>
      </c>
      <c r="HM12" s="34" t="e">
        <f>AND(#REF!,"AAAAAH7Ox9w=")</f>
        <v>#REF!</v>
      </c>
      <c r="HN12" s="34" t="e">
        <f>AND(#REF!,"AAAAAH7Ox90=")</f>
        <v>#REF!</v>
      </c>
      <c r="HO12" s="34" t="e">
        <f>AND(#REF!,"AAAAAH7Ox94=")</f>
        <v>#REF!</v>
      </c>
      <c r="HP12" s="34" t="e">
        <f>AND(#REF!,"AAAAAH7Ox98=")</f>
        <v>#REF!</v>
      </c>
      <c r="HQ12" s="34" t="e">
        <f>AND(#REF!,"AAAAAH7Ox+A=")</f>
        <v>#REF!</v>
      </c>
      <c r="HR12" s="34" t="e">
        <f>AND(#REF!,"AAAAAH7Ox+E=")</f>
        <v>#REF!</v>
      </c>
      <c r="HS12" s="34" t="e">
        <f>AND(#REF!,"AAAAAH7Ox+I=")</f>
        <v>#REF!</v>
      </c>
      <c r="HT12" s="34" t="e">
        <f>AND(#REF!,"AAAAAH7Ox+M=")</f>
        <v>#REF!</v>
      </c>
      <c r="HU12" s="34" t="e">
        <f>AND(#REF!,"AAAAAH7Ox+Q=")</f>
        <v>#REF!</v>
      </c>
      <c r="HV12" s="34" t="e">
        <f>AND(#REF!,"AAAAAH7Ox+U=")</f>
        <v>#REF!</v>
      </c>
      <c r="HW12" s="34" t="e">
        <f>AND(#REF!,"AAAAAH7Ox+Y=")</f>
        <v>#REF!</v>
      </c>
      <c r="HX12" s="34" t="e">
        <f>AND(#REF!,"AAAAAH7Ox+c=")</f>
        <v>#REF!</v>
      </c>
      <c r="HY12" s="34" t="e">
        <f>AND(#REF!,"AAAAAH7Ox+g=")</f>
        <v>#REF!</v>
      </c>
      <c r="HZ12" s="34" t="e">
        <f>AND(#REF!,"AAAAAH7Ox+k=")</f>
        <v>#REF!</v>
      </c>
      <c r="IA12" s="34" t="e">
        <f>AND(#REF!,"AAAAAH7Ox+o=")</f>
        <v>#REF!</v>
      </c>
      <c r="IB12" s="34" t="e">
        <f>AND(#REF!,"AAAAAH7Ox+s=")</f>
        <v>#REF!</v>
      </c>
      <c r="IC12" s="34" t="e">
        <f>AND(#REF!,"AAAAAH7Ox+w=")</f>
        <v>#REF!</v>
      </c>
      <c r="ID12" s="34" t="e">
        <f>AND(#REF!,"AAAAAH7Ox+0=")</f>
        <v>#REF!</v>
      </c>
      <c r="IE12" s="34" t="e">
        <f>AND(#REF!,"AAAAAH7Ox+4=")</f>
        <v>#REF!</v>
      </c>
      <c r="IF12" s="34" t="e">
        <f>AND(#REF!,"AAAAAH7Ox+8=")</f>
        <v>#REF!</v>
      </c>
      <c r="IG12" s="34" t="e">
        <f>AND(#REF!,"AAAAAH7Ox/A=")</f>
        <v>#REF!</v>
      </c>
      <c r="IH12" s="34" t="e">
        <f>AND(#REF!,"AAAAAH7Ox/E=")</f>
        <v>#REF!</v>
      </c>
      <c r="II12" s="34" t="e">
        <f>AND(#REF!,"AAAAAH7Ox/I=")</f>
        <v>#REF!</v>
      </c>
      <c r="IJ12" s="34" t="e">
        <f>AND(#REF!,"AAAAAH7Ox/M=")</f>
        <v>#REF!</v>
      </c>
      <c r="IK12" s="34" t="e">
        <f>AND(#REF!,"AAAAAH7Ox/Q=")</f>
        <v>#REF!</v>
      </c>
      <c r="IL12" s="34" t="e">
        <f>AND(#REF!,"AAAAAH7Ox/U=")</f>
        <v>#REF!</v>
      </c>
      <c r="IM12" s="34" t="e">
        <f>AND(#REF!,"AAAAAH7Ox/Y=")</f>
        <v>#REF!</v>
      </c>
      <c r="IN12" s="34" t="e">
        <f>AND(#REF!,"AAAAAH7Ox/c=")</f>
        <v>#REF!</v>
      </c>
      <c r="IO12" s="34" t="e">
        <f>AND(#REF!,"AAAAAH7Ox/g=")</f>
        <v>#REF!</v>
      </c>
      <c r="IP12" s="34" t="e">
        <f>AND(#REF!,"AAAAAH7Ox/k=")</f>
        <v>#REF!</v>
      </c>
      <c r="IQ12" s="34" t="e">
        <f>AND(#REF!,"AAAAAH7Ox/o=")</f>
        <v>#REF!</v>
      </c>
      <c r="IR12" s="34" t="e">
        <f>AND(#REF!,"AAAAAH7Ox/s=")</f>
        <v>#REF!</v>
      </c>
      <c r="IS12" s="34" t="e">
        <f>AND(#REF!,"AAAAAH7Ox/w=")</f>
        <v>#REF!</v>
      </c>
      <c r="IT12" s="34" t="e">
        <f>AND(#REF!,"AAAAAH7Ox/0=")</f>
        <v>#REF!</v>
      </c>
      <c r="IU12" s="34" t="e">
        <f>AND(#REF!,"AAAAAH7Ox/4=")</f>
        <v>#REF!</v>
      </c>
      <c r="IV12" s="34" t="e">
        <f>AND(#REF!,"AAAAAH7Ox/8=")</f>
        <v>#REF!</v>
      </c>
    </row>
    <row r="13" spans="1:256" ht="12.75" customHeight="1" x14ac:dyDescent="0.2">
      <c r="A13" s="34" t="e">
        <f>AND(#REF!,"AAAAAHf/fQA=")</f>
        <v>#REF!</v>
      </c>
      <c r="B13" s="34" t="e">
        <f>AND(#REF!,"AAAAAHf/fQE=")</f>
        <v>#REF!</v>
      </c>
      <c r="C13" s="34" t="e">
        <f>AND(#REF!,"AAAAAHf/fQI=")</f>
        <v>#REF!</v>
      </c>
      <c r="D13" s="34" t="e">
        <f>AND(#REF!,"AAAAAHf/fQM=")</f>
        <v>#REF!</v>
      </c>
      <c r="E13" s="34" t="e">
        <f>AND(#REF!,"AAAAAHf/fQQ=")</f>
        <v>#REF!</v>
      </c>
      <c r="F13" s="34" t="e">
        <f>AND(#REF!,"AAAAAHf/fQU=")</f>
        <v>#REF!</v>
      </c>
      <c r="G13" s="34" t="e">
        <f>AND(#REF!,"AAAAAHf/fQY=")</f>
        <v>#REF!</v>
      </c>
      <c r="H13" s="34" t="e">
        <f>AND(#REF!,"AAAAAHf/fQc=")</f>
        <v>#REF!</v>
      </c>
      <c r="I13" s="34" t="e">
        <f>AND(#REF!,"AAAAAHf/fQg=")</f>
        <v>#REF!</v>
      </c>
      <c r="J13" s="34" t="e">
        <f>AND(#REF!,"AAAAAHf/fQk=")</f>
        <v>#REF!</v>
      </c>
      <c r="K13" s="34" t="e">
        <f>AND(#REF!,"AAAAAHf/fQo=")</f>
        <v>#REF!</v>
      </c>
      <c r="L13" s="34" t="e">
        <f>AND(#REF!,"AAAAAHf/fQs=")</f>
        <v>#REF!</v>
      </c>
      <c r="M13" s="34" t="e">
        <f>AND(#REF!,"AAAAAHf/fQw=")</f>
        <v>#REF!</v>
      </c>
      <c r="N13" s="34" t="e">
        <f>AND(#REF!,"AAAAAHf/fQ0=")</f>
        <v>#REF!</v>
      </c>
      <c r="O13" s="34" t="e">
        <f>AND(#REF!,"AAAAAHf/fQ4=")</f>
        <v>#REF!</v>
      </c>
      <c r="P13" s="34" t="e">
        <f>AND(#REF!,"AAAAAHf/fQ8=")</f>
        <v>#REF!</v>
      </c>
      <c r="Q13" s="34" t="e">
        <f>AND(#REF!,"AAAAAHf/fRA=")</f>
        <v>#REF!</v>
      </c>
      <c r="R13" s="34" t="e">
        <f>AND(#REF!,"AAAAAHf/fRE=")</f>
        <v>#REF!</v>
      </c>
      <c r="S13" s="34" t="e">
        <f>AND(#REF!,"AAAAAHf/fRI=")</f>
        <v>#REF!</v>
      </c>
      <c r="T13" s="34" t="e">
        <f>IF(#REF!,"AAAAAHf/fRM=",0)</f>
        <v>#REF!</v>
      </c>
      <c r="U13" s="34" t="e">
        <f>AND(#REF!,"AAAAAHf/fRQ=")</f>
        <v>#REF!</v>
      </c>
      <c r="V13" s="34" t="e">
        <f>AND(#REF!,"AAAAAHf/fRU=")</f>
        <v>#REF!</v>
      </c>
      <c r="W13" s="34" t="e">
        <f>AND(#REF!,"AAAAAHf/fRY=")</f>
        <v>#REF!</v>
      </c>
      <c r="X13" s="34" t="e">
        <f>AND(#REF!,"AAAAAHf/fRc=")</f>
        <v>#REF!</v>
      </c>
      <c r="Y13" s="34" t="e">
        <f>AND(#REF!,"AAAAAHf/fRg=")</f>
        <v>#REF!</v>
      </c>
      <c r="Z13" s="34" t="e">
        <f>AND(#REF!,"AAAAAHf/fRk=")</f>
        <v>#REF!</v>
      </c>
      <c r="AA13" s="34" t="e">
        <f>AND(#REF!,"AAAAAHf/fRo=")</f>
        <v>#REF!</v>
      </c>
      <c r="AB13" s="34" t="e">
        <f>AND(#REF!,"AAAAAHf/fRs=")</f>
        <v>#REF!</v>
      </c>
      <c r="AC13" s="34" t="e">
        <f>AND(#REF!,"AAAAAHf/fRw=")</f>
        <v>#REF!</v>
      </c>
      <c r="AD13" s="34" t="e">
        <f>AND(#REF!,"AAAAAHf/fR0=")</f>
        <v>#REF!</v>
      </c>
      <c r="AE13" s="34" t="e">
        <f>AND(#REF!,"AAAAAHf/fR4=")</f>
        <v>#REF!</v>
      </c>
      <c r="AF13" s="34" t="e">
        <f>AND(#REF!,"AAAAAHf/fR8=")</f>
        <v>#REF!</v>
      </c>
      <c r="AG13" s="34" t="e">
        <f>AND(#REF!,"AAAAAHf/fSA=")</f>
        <v>#REF!</v>
      </c>
      <c r="AH13" s="34" t="e">
        <f>AND(#REF!,"AAAAAHf/fSE=")</f>
        <v>#REF!</v>
      </c>
      <c r="AI13" s="34" t="e">
        <f>AND(#REF!,"AAAAAHf/fSI=")</f>
        <v>#REF!</v>
      </c>
      <c r="AJ13" s="34" t="e">
        <f>AND(#REF!,"AAAAAHf/fSM=")</f>
        <v>#REF!</v>
      </c>
      <c r="AK13" s="34" t="e">
        <f>AND(#REF!,"AAAAAHf/fSQ=")</f>
        <v>#REF!</v>
      </c>
      <c r="AL13" s="34" t="e">
        <f>AND(#REF!,"AAAAAHf/fSU=")</f>
        <v>#REF!</v>
      </c>
      <c r="AM13" s="34" t="e">
        <f>AND(#REF!,"AAAAAHf/fSY=")</f>
        <v>#REF!</v>
      </c>
      <c r="AN13" s="34" t="e">
        <f>AND(#REF!,"AAAAAHf/fSc=")</f>
        <v>#REF!</v>
      </c>
      <c r="AO13" s="34" t="e">
        <f>AND(#REF!,"AAAAAHf/fSg=")</f>
        <v>#REF!</v>
      </c>
      <c r="AP13" s="34" t="e">
        <f>AND(#REF!,"AAAAAHf/fSk=")</f>
        <v>#REF!</v>
      </c>
      <c r="AQ13" s="34" t="e">
        <f>AND(#REF!,"AAAAAHf/fSo=")</f>
        <v>#REF!</v>
      </c>
      <c r="AR13" s="34" t="e">
        <f>AND(#REF!,"AAAAAHf/fSs=")</f>
        <v>#REF!</v>
      </c>
      <c r="AS13" s="34" t="e">
        <f>AND(#REF!,"AAAAAHf/fSw=")</f>
        <v>#REF!</v>
      </c>
      <c r="AT13" s="34" t="e">
        <f>AND(#REF!,"AAAAAHf/fS0=")</f>
        <v>#REF!</v>
      </c>
      <c r="AU13" s="34" t="e">
        <f>AND(#REF!,"AAAAAHf/fS4=")</f>
        <v>#REF!</v>
      </c>
      <c r="AV13" s="34" t="e">
        <f>AND(#REF!,"AAAAAHf/fS8=")</f>
        <v>#REF!</v>
      </c>
      <c r="AW13" s="34" t="e">
        <f>AND(#REF!,"AAAAAHf/fTA=")</f>
        <v>#REF!</v>
      </c>
      <c r="AX13" s="34" t="e">
        <f>AND(#REF!,"AAAAAHf/fTE=")</f>
        <v>#REF!</v>
      </c>
      <c r="AY13" s="34" t="e">
        <f>AND(#REF!,"AAAAAHf/fTI=")</f>
        <v>#REF!</v>
      </c>
      <c r="AZ13" s="34" t="e">
        <f>AND(#REF!,"AAAAAHf/fTM=")</f>
        <v>#REF!</v>
      </c>
      <c r="BA13" s="34" t="e">
        <f>AND(#REF!,"AAAAAHf/fTQ=")</f>
        <v>#REF!</v>
      </c>
      <c r="BB13" s="34" t="e">
        <f>AND(#REF!,"AAAAAHf/fTU=")</f>
        <v>#REF!</v>
      </c>
      <c r="BC13" s="34" t="e">
        <f>AND(#REF!,"AAAAAHf/fTY=")</f>
        <v>#REF!</v>
      </c>
      <c r="BD13" s="34" t="e">
        <f>AND(#REF!,"AAAAAHf/fTc=")</f>
        <v>#REF!</v>
      </c>
      <c r="BE13" s="34" t="e">
        <f>AND(#REF!,"AAAAAHf/fTg=")</f>
        <v>#REF!</v>
      </c>
      <c r="BF13" s="34" t="e">
        <f>AND(#REF!,"AAAAAHf/fTk=")</f>
        <v>#REF!</v>
      </c>
      <c r="BG13" s="34" t="e">
        <f>AND(#REF!,"AAAAAHf/fTo=")</f>
        <v>#REF!</v>
      </c>
      <c r="BH13" s="34" t="e">
        <f>AND(#REF!,"AAAAAHf/fTs=")</f>
        <v>#REF!</v>
      </c>
      <c r="BI13" s="34" t="e">
        <f>AND(#REF!,"AAAAAHf/fTw=")</f>
        <v>#REF!</v>
      </c>
      <c r="BJ13" s="34" t="e">
        <f>AND(#REF!,"AAAAAHf/fT0=")</f>
        <v>#REF!</v>
      </c>
      <c r="BK13" s="34" t="e">
        <f>AND(#REF!,"AAAAAHf/fT4=")</f>
        <v>#REF!</v>
      </c>
      <c r="BL13" s="34" t="e">
        <f>AND(#REF!,"AAAAAHf/fT8=")</f>
        <v>#REF!</v>
      </c>
      <c r="BM13" s="34" t="e">
        <f>AND(#REF!,"AAAAAHf/fUA=")</f>
        <v>#REF!</v>
      </c>
      <c r="BN13" s="34" t="e">
        <f>AND(#REF!,"AAAAAHf/fUE=")</f>
        <v>#REF!</v>
      </c>
      <c r="BO13" s="34" t="e">
        <f>AND(#REF!,"AAAAAHf/fUI=")</f>
        <v>#REF!</v>
      </c>
      <c r="BP13" s="34" t="e">
        <f>AND(#REF!,"AAAAAHf/fUM=")</f>
        <v>#REF!</v>
      </c>
      <c r="BQ13" s="34" t="e">
        <f>AND(#REF!,"AAAAAHf/fUQ=")</f>
        <v>#REF!</v>
      </c>
      <c r="BR13" s="34" t="e">
        <f>AND(#REF!,"AAAAAHf/fUU=")</f>
        <v>#REF!</v>
      </c>
      <c r="BS13" s="34" t="e">
        <f>AND(#REF!,"AAAAAHf/fUY=")</f>
        <v>#REF!</v>
      </c>
      <c r="BT13" s="34" t="e">
        <f>AND(#REF!,"AAAAAHf/fUc=")</f>
        <v>#REF!</v>
      </c>
      <c r="BU13" s="34" t="e">
        <f>AND(#REF!,"AAAAAHf/fUg=")</f>
        <v>#REF!</v>
      </c>
      <c r="BV13" s="34" t="e">
        <f>AND(#REF!,"AAAAAHf/fUk=")</f>
        <v>#REF!</v>
      </c>
      <c r="BW13" s="34" t="e">
        <f>AND(#REF!,"AAAAAHf/fUo=")</f>
        <v>#REF!</v>
      </c>
      <c r="BX13" s="34" t="e">
        <f>AND(#REF!,"AAAAAHf/fUs=")</f>
        <v>#REF!</v>
      </c>
      <c r="BY13" s="34" t="e">
        <f>AND(#REF!,"AAAAAHf/fUw=")</f>
        <v>#REF!</v>
      </c>
      <c r="BZ13" s="34" t="e">
        <f>AND(#REF!,"AAAAAHf/fU0=")</f>
        <v>#REF!</v>
      </c>
      <c r="CA13" s="34" t="e">
        <f>AND(#REF!,"AAAAAHf/fU4=")</f>
        <v>#REF!</v>
      </c>
      <c r="CB13" s="34" t="e">
        <f>AND(#REF!,"AAAAAHf/fU8=")</f>
        <v>#REF!</v>
      </c>
      <c r="CC13" s="34" t="e">
        <f>AND(#REF!,"AAAAAHf/fVA=")</f>
        <v>#REF!</v>
      </c>
      <c r="CD13" s="34" t="e">
        <f>AND(#REF!,"AAAAAHf/fVE=")</f>
        <v>#REF!</v>
      </c>
      <c r="CE13" s="34" t="e">
        <f>AND(#REF!,"AAAAAHf/fVI=")</f>
        <v>#REF!</v>
      </c>
      <c r="CF13" s="34" t="e">
        <f>AND(#REF!,"AAAAAHf/fVM=")</f>
        <v>#REF!</v>
      </c>
      <c r="CG13" s="34" t="e">
        <f>AND(#REF!,"AAAAAHf/fVQ=")</f>
        <v>#REF!</v>
      </c>
      <c r="CH13" s="34" t="e">
        <f>AND(#REF!,"AAAAAHf/fVU=")</f>
        <v>#REF!</v>
      </c>
      <c r="CI13" s="34" t="e">
        <f>AND(#REF!,"AAAAAHf/fVY=")</f>
        <v>#REF!</v>
      </c>
      <c r="CJ13" s="34" t="e">
        <f>AND(#REF!,"AAAAAHf/fVc=")</f>
        <v>#REF!</v>
      </c>
      <c r="CK13" s="34" t="e">
        <f>AND(#REF!,"AAAAAHf/fVg=")</f>
        <v>#REF!</v>
      </c>
      <c r="CL13" s="34" t="e">
        <f>AND(#REF!,"AAAAAHf/fVk=")</f>
        <v>#REF!</v>
      </c>
      <c r="CM13" s="34" t="e">
        <f>AND(#REF!,"AAAAAHf/fVo=")</f>
        <v>#REF!</v>
      </c>
      <c r="CN13" s="34" t="e">
        <f>AND(#REF!,"AAAAAHf/fVs=")</f>
        <v>#REF!</v>
      </c>
      <c r="CO13" s="34" t="e">
        <f>IF(#REF!,"AAAAAHf/fVw=",0)</f>
        <v>#REF!</v>
      </c>
      <c r="CP13" s="34" t="e">
        <f>AND(#REF!,"AAAAAHf/fV0=")</f>
        <v>#REF!</v>
      </c>
      <c r="CQ13" s="34" t="e">
        <f>AND(#REF!,"AAAAAHf/fV4=")</f>
        <v>#REF!</v>
      </c>
      <c r="CR13" s="34" t="e">
        <f>AND(#REF!,"AAAAAHf/fV8=")</f>
        <v>#REF!</v>
      </c>
      <c r="CS13" s="34" t="e">
        <f>AND(#REF!,"AAAAAHf/fWA=")</f>
        <v>#REF!</v>
      </c>
      <c r="CT13" s="34" t="e">
        <f>AND(#REF!,"AAAAAHf/fWE=")</f>
        <v>#REF!</v>
      </c>
      <c r="CU13" s="34" t="e">
        <f>AND(#REF!,"AAAAAHf/fWI=")</f>
        <v>#REF!</v>
      </c>
      <c r="CV13" s="34" t="e">
        <f>AND(#REF!,"AAAAAHf/fWM=")</f>
        <v>#REF!</v>
      </c>
      <c r="CW13" s="34" t="e">
        <f>AND(#REF!,"AAAAAHf/fWQ=")</f>
        <v>#REF!</v>
      </c>
      <c r="CX13" s="34" t="e">
        <f>AND(#REF!,"AAAAAHf/fWU=")</f>
        <v>#REF!</v>
      </c>
      <c r="CY13" s="34" t="e">
        <f>AND(#REF!,"AAAAAHf/fWY=")</f>
        <v>#REF!</v>
      </c>
      <c r="CZ13" s="34" t="e">
        <f>AND(#REF!,"AAAAAHf/fWc=")</f>
        <v>#REF!</v>
      </c>
      <c r="DA13" s="34" t="e">
        <f>AND(#REF!,"AAAAAHf/fWg=")</f>
        <v>#REF!</v>
      </c>
      <c r="DB13" s="34" t="e">
        <f>AND(#REF!,"AAAAAHf/fWk=")</f>
        <v>#REF!</v>
      </c>
      <c r="DC13" s="34" t="e">
        <f>AND(#REF!,"AAAAAHf/fWo=")</f>
        <v>#REF!</v>
      </c>
      <c r="DD13" s="34" t="e">
        <f>AND(#REF!,"AAAAAHf/fWs=")</f>
        <v>#REF!</v>
      </c>
      <c r="DE13" s="34" t="e">
        <f>AND(#REF!,"AAAAAHf/fWw=")</f>
        <v>#REF!</v>
      </c>
      <c r="DF13" s="34" t="e">
        <f>AND(#REF!,"AAAAAHf/fW0=")</f>
        <v>#REF!</v>
      </c>
      <c r="DG13" s="34" t="e">
        <f>AND(#REF!,"AAAAAHf/fW4=")</f>
        <v>#REF!</v>
      </c>
      <c r="DH13" s="34" t="e">
        <f>AND(#REF!,"AAAAAHf/fW8=")</f>
        <v>#REF!</v>
      </c>
      <c r="DI13" s="34" t="e">
        <f>AND(#REF!,"AAAAAHf/fXA=")</f>
        <v>#REF!</v>
      </c>
      <c r="DJ13" s="34" t="e">
        <f>AND(#REF!,"AAAAAHf/fXE=")</f>
        <v>#REF!</v>
      </c>
      <c r="DK13" s="34" t="e">
        <f>AND(#REF!,"AAAAAHf/fXI=")</f>
        <v>#REF!</v>
      </c>
      <c r="DL13" s="34" t="e">
        <f>AND(#REF!,"AAAAAHf/fXM=")</f>
        <v>#REF!</v>
      </c>
      <c r="DM13" s="34" t="e">
        <f>AND(#REF!,"AAAAAHf/fXQ=")</f>
        <v>#REF!</v>
      </c>
      <c r="DN13" s="34" t="e">
        <f>AND(#REF!,"AAAAAHf/fXU=")</f>
        <v>#REF!</v>
      </c>
      <c r="DO13" s="34" t="e">
        <f>AND(#REF!,"AAAAAHf/fXY=")</f>
        <v>#REF!</v>
      </c>
      <c r="DP13" s="34" t="e">
        <f>AND(#REF!,"AAAAAHf/fXc=")</f>
        <v>#REF!</v>
      </c>
      <c r="DQ13" s="34" t="e">
        <f>AND(#REF!,"AAAAAHf/fXg=")</f>
        <v>#REF!</v>
      </c>
      <c r="DR13" s="34" t="e">
        <f>AND(#REF!,"AAAAAHf/fXk=")</f>
        <v>#REF!</v>
      </c>
      <c r="DS13" s="34" t="e">
        <f>AND(#REF!,"AAAAAHf/fXo=")</f>
        <v>#REF!</v>
      </c>
      <c r="DT13" s="34" t="e">
        <f>AND(#REF!,"AAAAAHf/fXs=")</f>
        <v>#REF!</v>
      </c>
      <c r="DU13" s="34" t="e">
        <f>AND(#REF!,"AAAAAHf/fXw=")</f>
        <v>#REF!</v>
      </c>
      <c r="DV13" s="34" t="e">
        <f>AND(#REF!,"AAAAAHf/fX0=")</f>
        <v>#REF!</v>
      </c>
      <c r="DW13" s="34" t="e">
        <f>AND(#REF!,"AAAAAHf/fX4=")</f>
        <v>#REF!</v>
      </c>
      <c r="DX13" s="34" t="e">
        <f>AND(#REF!,"AAAAAHf/fX8=")</f>
        <v>#REF!</v>
      </c>
      <c r="DY13" s="34" t="e">
        <f>AND(#REF!,"AAAAAHf/fYA=")</f>
        <v>#REF!</v>
      </c>
      <c r="DZ13" s="34" t="e">
        <f>AND(#REF!,"AAAAAHf/fYE=")</f>
        <v>#REF!</v>
      </c>
      <c r="EA13" s="34" t="e">
        <f>AND(#REF!,"AAAAAHf/fYI=")</f>
        <v>#REF!</v>
      </c>
      <c r="EB13" s="34" t="e">
        <f>AND(#REF!,"AAAAAHf/fYM=")</f>
        <v>#REF!</v>
      </c>
      <c r="EC13" s="34" t="e">
        <f>AND(#REF!,"AAAAAHf/fYQ=")</f>
        <v>#REF!</v>
      </c>
      <c r="ED13" s="34" t="e">
        <f>AND(#REF!,"AAAAAHf/fYU=")</f>
        <v>#REF!</v>
      </c>
      <c r="EE13" s="34" t="e">
        <f>AND(#REF!,"AAAAAHf/fYY=")</f>
        <v>#REF!</v>
      </c>
      <c r="EF13" s="34" t="e">
        <f>AND(#REF!,"AAAAAHf/fYc=")</f>
        <v>#REF!</v>
      </c>
      <c r="EG13" s="34" t="e">
        <f>AND(#REF!,"AAAAAHf/fYg=")</f>
        <v>#REF!</v>
      </c>
      <c r="EH13" s="34" t="e">
        <f>AND(#REF!,"AAAAAHf/fYk=")</f>
        <v>#REF!</v>
      </c>
      <c r="EI13" s="34" t="e">
        <f>AND(#REF!,"AAAAAHf/fYo=")</f>
        <v>#REF!</v>
      </c>
      <c r="EJ13" s="34" t="e">
        <f>AND(#REF!,"AAAAAHf/fYs=")</f>
        <v>#REF!</v>
      </c>
      <c r="EK13" s="34" t="e">
        <f>AND(#REF!,"AAAAAHf/fYw=")</f>
        <v>#REF!</v>
      </c>
      <c r="EL13" s="34" t="e">
        <f>AND(#REF!,"AAAAAHf/fY0=")</f>
        <v>#REF!</v>
      </c>
      <c r="EM13" s="34" t="e">
        <f>AND(#REF!,"AAAAAHf/fY4=")</f>
        <v>#REF!</v>
      </c>
      <c r="EN13" s="34" t="e">
        <f>AND(#REF!,"AAAAAHf/fY8=")</f>
        <v>#REF!</v>
      </c>
      <c r="EO13" s="34" t="e">
        <f>AND(#REF!,"AAAAAHf/fZA=")</f>
        <v>#REF!</v>
      </c>
      <c r="EP13" s="34" t="e">
        <f>AND(#REF!,"AAAAAHf/fZE=")</f>
        <v>#REF!</v>
      </c>
      <c r="EQ13" s="34" t="e">
        <f>AND(#REF!,"AAAAAHf/fZI=")</f>
        <v>#REF!</v>
      </c>
      <c r="ER13" s="34" t="e">
        <f>AND(#REF!,"AAAAAHf/fZM=")</f>
        <v>#REF!</v>
      </c>
      <c r="ES13" s="34" t="e">
        <f>AND(#REF!,"AAAAAHf/fZQ=")</f>
        <v>#REF!</v>
      </c>
      <c r="ET13" s="34" t="e">
        <f>AND(#REF!,"AAAAAHf/fZU=")</f>
        <v>#REF!</v>
      </c>
      <c r="EU13" s="34" t="e">
        <f>AND(#REF!,"AAAAAHf/fZY=")</f>
        <v>#REF!</v>
      </c>
      <c r="EV13" s="34" t="e">
        <f>AND(#REF!,"AAAAAHf/fZc=")</f>
        <v>#REF!</v>
      </c>
      <c r="EW13" s="34" t="e">
        <f>AND(#REF!,"AAAAAHf/fZg=")</f>
        <v>#REF!</v>
      </c>
      <c r="EX13" s="34" t="e">
        <f>AND(#REF!,"AAAAAHf/fZk=")</f>
        <v>#REF!</v>
      </c>
      <c r="EY13" s="34" t="e">
        <f>AND(#REF!,"AAAAAHf/fZo=")</f>
        <v>#REF!</v>
      </c>
      <c r="EZ13" s="34" t="e">
        <f>AND(#REF!,"AAAAAHf/fZs=")</f>
        <v>#REF!</v>
      </c>
      <c r="FA13" s="34" t="e">
        <f>AND(#REF!,"AAAAAHf/fZw=")</f>
        <v>#REF!</v>
      </c>
      <c r="FB13" s="34" t="e">
        <f>AND(#REF!,"AAAAAHf/fZ0=")</f>
        <v>#REF!</v>
      </c>
      <c r="FC13" s="34" t="e">
        <f>AND(#REF!,"AAAAAHf/fZ4=")</f>
        <v>#REF!</v>
      </c>
      <c r="FD13" s="34" t="e">
        <f>AND(#REF!,"AAAAAHf/fZ8=")</f>
        <v>#REF!</v>
      </c>
      <c r="FE13" s="34" t="e">
        <f>AND(#REF!,"AAAAAHf/faA=")</f>
        <v>#REF!</v>
      </c>
      <c r="FF13" s="34" t="e">
        <f>AND(#REF!,"AAAAAHf/faE=")</f>
        <v>#REF!</v>
      </c>
      <c r="FG13" s="34" t="e">
        <f>AND(#REF!,"AAAAAHf/faI=")</f>
        <v>#REF!</v>
      </c>
      <c r="FH13" s="34" t="e">
        <f>AND(#REF!,"AAAAAHf/faM=")</f>
        <v>#REF!</v>
      </c>
      <c r="FI13" s="34" t="e">
        <f>AND(#REF!,"AAAAAHf/faQ=")</f>
        <v>#REF!</v>
      </c>
      <c r="FJ13" s="34" t="e">
        <f>IF(#REF!,"AAAAAHf/faU=",0)</f>
        <v>#REF!</v>
      </c>
      <c r="FK13" s="34" t="e">
        <f>AND(#REF!,"AAAAAHf/faY=")</f>
        <v>#REF!</v>
      </c>
      <c r="FL13" s="34" t="e">
        <f>AND(#REF!,"AAAAAHf/fac=")</f>
        <v>#REF!</v>
      </c>
      <c r="FM13" s="34" t="e">
        <f>AND(#REF!,"AAAAAHf/fag=")</f>
        <v>#REF!</v>
      </c>
      <c r="FN13" s="34" t="e">
        <f>AND(#REF!,"AAAAAHf/fak=")</f>
        <v>#REF!</v>
      </c>
      <c r="FO13" s="34" t="e">
        <f>AND(#REF!,"AAAAAHf/fao=")</f>
        <v>#REF!</v>
      </c>
      <c r="FP13" s="34" t="e">
        <f>AND(#REF!,"AAAAAHf/fas=")</f>
        <v>#REF!</v>
      </c>
      <c r="FQ13" s="34" t="e">
        <f>AND(#REF!,"AAAAAHf/faw=")</f>
        <v>#REF!</v>
      </c>
      <c r="FR13" s="34" t="e">
        <f>AND(#REF!,"AAAAAHf/fa0=")</f>
        <v>#REF!</v>
      </c>
      <c r="FS13" s="34" t="e">
        <f>AND(#REF!,"AAAAAHf/fa4=")</f>
        <v>#REF!</v>
      </c>
      <c r="FT13" s="34" t="e">
        <f>AND(#REF!,"AAAAAHf/fa8=")</f>
        <v>#REF!</v>
      </c>
      <c r="FU13" s="34" t="e">
        <f>AND(#REF!,"AAAAAHf/fbA=")</f>
        <v>#REF!</v>
      </c>
      <c r="FV13" s="34" t="e">
        <f>AND(#REF!,"AAAAAHf/fbE=")</f>
        <v>#REF!</v>
      </c>
      <c r="FW13" s="34" t="e">
        <f>AND(#REF!,"AAAAAHf/fbI=")</f>
        <v>#REF!</v>
      </c>
      <c r="FX13" s="34" t="e">
        <f>AND(#REF!,"AAAAAHf/fbM=")</f>
        <v>#REF!</v>
      </c>
      <c r="FY13" s="34" t="e">
        <f>AND(#REF!,"AAAAAHf/fbQ=")</f>
        <v>#REF!</v>
      </c>
      <c r="FZ13" s="34" t="e">
        <f>AND(#REF!,"AAAAAHf/fbU=")</f>
        <v>#REF!</v>
      </c>
      <c r="GA13" s="34" t="e">
        <f>AND(#REF!,"AAAAAHf/fbY=")</f>
        <v>#REF!</v>
      </c>
      <c r="GB13" s="34" t="e">
        <f>AND(#REF!,"AAAAAHf/fbc=")</f>
        <v>#REF!</v>
      </c>
      <c r="GC13" s="34" t="e">
        <f>AND(#REF!,"AAAAAHf/fbg=")</f>
        <v>#REF!</v>
      </c>
      <c r="GD13" s="34" t="e">
        <f>AND(#REF!,"AAAAAHf/fbk=")</f>
        <v>#REF!</v>
      </c>
      <c r="GE13" s="34" t="e">
        <f>AND(#REF!,"AAAAAHf/fbo=")</f>
        <v>#REF!</v>
      </c>
      <c r="GF13" s="34" t="e">
        <f>AND(#REF!,"AAAAAHf/fbs=")</f>
        <v>#REF!</v>
      </c>
      <c r="GG13" s="34" t="e">
        <f>AND(#REF!,"AAAAAHf/fbw=")</f>
        <v>#REF!</v>
      </c>
      <c r="GH13" s="34" t="e">
        <f>AND(#REF!,"AAAAAHf/fb0=")</f>
        <v>#REF!</v>
      </c>
      <c r="GI13" s="34" t="e">
        <f>AND(#REF!,"AAAAAHf/fb4=")</f>
        <v>#REF!</v>
      </c>
      <c r="GJ13" s="34" t="e">
        <f>AND(#REF!,"AAAAAHf/fb8=")</f>
        <v>#REF!</v>
      </c>
      <c r="GK13" s="34" t="e">
        <f>AND(#REF!,"AAAAAHf/fcA=")</f>
        <v>#REF!</v>
      </c>
      <c r="GL13" s="34" t="e">
        <f>AND(#REF!,"AAAAAHf/fcE=")</f>
        <v>#REF!</v>
      </c>
      <c r="GM13" s="34" t="e">
        <f>AND(#REF!,"AAAAAHf/fcI=")</f>
        <v>#REF!</v>
      </c>
      <c r="GN13" s="34" t="e">
        <f>AND(#REF!,"AAAAAHf/fcM=")</f>
        <v>#REF!</v>
      </c>
      <c r="GO13" s="34" t="e">
        <f>AND(#REF!,"AAAAAHf/fcQ=")</f>
        <v>#REF!</v>
      </c>
      <c r="GP13" s="34" t="e">
        <f>AND(#REF!,"AAAAAHf/fcU=")</f>
        <v>#REF!</v>
      </c>
      <c r="GQ13" s="34" t="e">
        <f>AND(#REF!,"AAAAAHf/fcY=")</f>
        <v>#REF!</v>
      </c>
      <c r="GR13" s="34" t="e">
        <f>AND(#REF!,"AAAAAHf/fcc=")</f>
        <v>#REF!</v>
      </c>
      <c r="GS13" s="34" t="e">
        <f>AND(#REF!,"AAAAAHf/fcg=")</f>
        <v>#REF!</v>
      </c>
      <c r="GT13" s="34" t="e">
        <f>AND(#REF!,"AAAAAHf/fck=")</f>
        <v>#REF!</v>
      </c>
      <c r="GU13" s="34" t="e">
        <f>AND(#REF!,"AAAAAHf/fco=")</f>
        <v>#REF!</v>
      </c>
      <c r="GV13" s="34" t="e">
        <f>AND(#REF!,"AAAAAHf/fcs=")</f>
        <v>#REF!</v>
      </c>
      <c r="GW13" s="34" t="e">
        <f>AND(#REF!,"AAAAAHf/fcw=")</f>
        <v>#REF!</v>
      </c>
      <c r="GX13" s="34" t="e">
        <f>AND(#REF!,"AAAAAHf/fc0=")</f>
        <v>#REF!</v>
      </c>
      <c r="GY13" s="34" t="e">
        <f>AND(#REF!,"AAAAAHf/fc4=")</f>
        <v>#REF!</v>
      </c>
      <c r="GZ13" s="34" t="e">
        <f>AND(#REF!,"AAAAAHf/fc8=")</f>
        <v>#REF!</v>
      </c>
      <c r="HA13" s="34" t="e">
        <f>AND(#REF!,"AAAAAHf/fdA=")</f>
        <v>#REF!</v>
      </c>
      <c r="HB13" s="34" t="e">
        <f>AND(#REF!,"AAAAAHf/fdE=")</f>
        <v>#REF!</v>
      </c>
      <c r="HC13" s="34" t="e">
        <f>AND(#REF!,"AAAAAHf/fdI=")</f>
        <v>#REF!</v>
      </c>
      <c r="HD13" s="34" t="e">
        <f>AND(#REF!,"AAAAAHf/fdM=")</f>
        <v>#REF!</v>
      </c>
      <c r="HE13" s="34" t="e">
        <f>AND(#REF!,"AAAAAHf/fdQ=")</f>
        <v>#REF!</v>
      </c>
      <c r="HF13" s="34" t="e">
        <f>AND(#REF!,"AAAAAHf/fdU=")</f>
        <v>#REF!</v>
      </c>
      <c r="HG13" s="34" t="e">
        <f>AND(#REF!,"AAAAAHf/fdY=")</f>
        <v>#REF!</v>
      </c>
      <c r="HH13" s="34" t="e">
        <f>AND(#REF!,"AAAAAHf/fdc=")</f>
        <v>#REF!</v>
      </c>
      <c r="HI13" s="34" t="e">
        <f>AND(#REF!,"AAAAAHf/fdg=")</f>
        <v>#REF!</v>
      </c>
      <c r="HJ13" s="34" t="e">
        <f>AND(#REF!,"AAAAAHf/fdk=")</f>
        <v>#REF!</v>
      </c>
      <c r="HK13" s="34" t="e">
        <f>AND(#REF!,"AAAAAHf/fdo=")</f>
        <v>#REF!</v>
      </c>
      <c r="HL13" s="34" t="e">
        <f>AND(#REF!,"AAAAAHf/fds=")</f>
        <v>#REF!</v>
      </c>
      <c r="HM13" s="34" t="e">
        <f>AND(#REF!,"AAAAAHf/fdw=")</f>
        <v>#REF!</v>
      </c>
      <c r="HN13" s="34" t="e">
        <f>AND(#REF!,"AAAAAHf/fd0=")</f>
        <v>#REF!</v>
      </c>
      <c r="HO13" s="34" t="e">
        <f>AND(#REF!,"AAAAAHf/fd4=")</f>
        <v>#REF!</v>
      </c>
      <c r="HP13" s="34" t="e">
        <f>AND(#REF!,"AAAAAHf/fd8=")</f>
        <v>#REF!</v>
      </c>
      <c r="HQ13" s="34" t="e">
        <f>AND(#REF!,"AAAAAHf/feA=")</f>
        <v>#REF!</v>
      </c>
      <c r="HR13" s="34" t="e">
        <f>AND(#REF!,"AAAAAHf/feE=")</f>
        <v>#REF!</v>
      </c>
      <c r="HS13" s="34" t="e">
        <f>AND(#REF!,"AAAAAHf/feI=")</f>
        <v>#REF!</v>
      </c>
      <c r="HT13" s="34" t="e">
        <f>AND(#REF!,"AAAAAHf/feM=")</f>
        <v>#REF!</v>
      </c>
      <c r="HU13" s="34" t="e">
        <f>AND(#REF!,"AAAAAHf/feQ=")</f>
        <v>#REF!</v>
      </c>
      <c r="HV13" s="34" t="e">
        <f>AND(#REF!,"AAAAAHf/feU=")</f>
        <v>#REF!</v>
      </c>
      <c r="HW13" s="34" t="e">
        <f>AND(#REF!,"AAAAAHf/feY=")</f>
        <v>#REF!</v>
      </c>
      <c r="HX13" s="34" t="e">
        <f>AND(#REF!,"AAAAAHf/fec=")</f>
        <v>#REF!</v>
      </c>
      <c r="HY13" s="34" t="e">
        <f>AND(#REF!,"AAAAAHf/feg=")</f>
        <v>#REF!</v>
      </c>
      <c r="HZ13" s="34" t="e">
        <f>AND(#REF!,"AAAAAHf/fek=")</f>
        <v>#REF!</v>
      </c>
      <c r="IA13" s="34" t="e">
        <f>AND(#REF!,"AAAAAHf/feo=")</f>
        <v>#REF!</v>
      </c>
      <c r="IB13" s="34" t="e">
        <f>AND(#REF!,"AAAAAHf/fes=")</f>
        <v>#REF!</v>
      </c>
      <c r="IC13" s="34" t="e">
        <f>AND(#REF!,"AAAAAHf/few=")</f>
        <v>#REF!</v>
      </c>
      <c r="ID13" s="34" t="e">
        <f>AND(#REF!,"AAAAAHf/fe0=")</f>
        <v>#REF!</v>
      </c>
      <c r="IE13" s="34" t="e">
        <f>IF(#REF!,"AAAAAHf/fe4=",0)</f>
        <v>#REF!</v>
      </c>
      <c r="IF13" s="34" t="e">
        <f>AND(#REF!,"AAAAAHf/fe8=")</f>
        <v>#REF!</v>
      </c>
      <c r="IG13" s="34" t="e">
        <f>AND(#REF!,"AAAAAHf/ffA=")</f>
        <v>#REF!</v>
      </c>
      <c r="IH13" s="34" t="e">
        <f>AND(#REF!,"AAAAAHf/ffE=")</f>
        <v>#REF!</v>
      </c>
      <c r="II13" s="34" t="e">
        <f>AND(#REF!,"AAAAAHf/ffI=")</f>
        <v>#REF!</v>
      </c>
      <c r="IJ13" s="34" t="e">
        <f>AND(#REF!,"AAAAAHf/ffM=")</f>
        <v>#REF!</v>
      </c>
      <c r="IK13" s="34" t="e">
        <f>AND(#REF!,"AAAAAHf/ffQ=")</f>
        <v>#REF!</v>
      </c>
      <c r="IL13" s="34" t="e">
        <f>AND(#REF!,"AAAAAHf/ffU=")</f>
        <v>#REF!</v>
      </c>
      <c r="IM13" s="34" t="e">
        <f>AND(#REF!,"AAAAAHf/ffY=")</f>
        <v>#REF!</v>
      </c>
      <c r="IN13" s="34" t="e">
        <f>AND(#REF!,"AAAAAHf/ffc=")</f>
        <v>#REF!</v>
      </c>
      <c r="IO13" s="34" t="e">
        <f>AND(#REF!,"AAAAAHf/ffg=")</f>
        <v>#REF!</v>
      </c>
      <c r="IP13" s="34" t="e">
        <f>AND(#REF!,"AAAAAHf/ffk=")</f>
        <v>#REF!</v>
      </c>
      <c r="IQ13" s="34" t="e">
        <f>AND(#REF!,"AAAAAHf/ffo=")</f>
        <v>#REF!</v>
      </c>
      <c r="IR13" s="34" t="e">
        <f>AND(#REF!,"AAAAAHf/ffs=")</f>
        <v>#REF!</v>
      </c>
      <c r="IS13" s="34" t="e">
        <f>AND(#REF!,"AAAAAHf/ffw=")</f>
        <v>#REF!</v>
      </c>
      <c r="IT13" s="34" t="e">
        <f>AND(#REF!,"AAAAAHf/ff0=")</f>
        <v>#REF!</v>
      </c>
      <c r="IU13" s="34" t="e">
        <f>AND(#REF!,"AAAAAHf/ff4=")</f>
        <v>#REF!</v>
      </c>
      <c r="IV13" s="34" t="e">
        <f>AND(#REF!,"AAAAAHf/ff8=")</f>
        <v>#REF!</v>
      </c>
    </row>
    <row r="14" spans="1:256" ht="12.75" customHeight="1" x14ac:dyDescent="0.2">
      <c r="A14" s="34" t="e">
        <f>AND(#REF!,"AAAAADm3/QA=")</f>
        <v>#REF!</v>
      </c>
      <c r="B14" s="34" t="e">
        <f>AND(#REF!,"AAAAADm3/QE=")</f>
        <v>#REF!</v>
      </c>
      <c r="C14" s="34" t="e">
        <f>AND(#REF!,"AAAAADm3/QI=")</f>
        <v>#REF!</v>
      </c>
      <c r="D14" s="34" t="e">
        <f>AND(#REF!,"AAAAADm3/QM=")</f>
        <v>#REF!</v>
      </c>
      <c r="E14" s="34" t="e">
        <f>AND(#REF!,"AAAAADm3/QQ=")</f>
        <v>#REF!</v>
      </c>
      <c r="F14" s="34" t="e">
        <f>AND(#REF!,"AAAAADm3/QU=")</f>
        <v>#REF!</v>
      </c>
      <c r="G14" s="34" t="e">
        <f>AND(#REF!,"AAAAADm3/QY=")</f>
        <v>#REF!</v>
      </c>
      <c r="H14" s="34" t="e">
        <f>AND(#REF!,"AAAAADm3/Qc=")</f>
        <v>#REF!</v>
      </c>
      <c r="I14" s="34" t="e">
        <f>AND(#REF!,"AAAAADm3/Qg=")</f>
        <v>#REF!</v>
      </c>
      <c r="J14" s="34" t="e">
        <f>AND(#REF!,"AAAAADm3/Qk=")</f>
        <v>#REF!</v>
      </c>
      <c r="K14" s="34" t="e">
        <f>AND(#REF!,"AAAAADm3/Qo=")</f>
        <v>#REF!</v>
      </c>
      <c r="L14" s="34" t="e">
        <f>AND(#REF!,"AAAAADm3/Qs=")</f>
        <v>#REF!</v>
      </c>
      <c r="M14" s="34" t="e">
        <f>AND(#REF!,"AAAAADm3/Qw=")</f>
        <v>#REF!</v>
      </c>
      <c r="N14" s="34" t="e">
        <f>AND(#REF!,"AAAAADm3/Q0=")</f>
        <v>#REF!</v>
      </c>
      <c r="O14" s="34" t="e">
        <f>AND(#REF!,"AAAAADm3/Q4=")</f>
        <v>#REF!</v>
      </c>
      <c r="P14" s="34" t="e">
        <f>AND(#REF!,"AAAAADm3/Q8=")</f>
        <v>#REF!</v>
      </c>
      <c r="Q14" s="34" t="e">
        <f>AND(#REF!,"AAAAADm3/RA=")</f>
        <v>#REF!</v>
      </c>
      <c r="R14" s="34" t="e">
        <f>AND(#REF!,"AAAAADm3/RE=")</f>
        <v>#REF!</v>
      </c>
      <c r="S14" s="34" t="e">
        <f>AND(#REF!,"AAAAADm3/RI=")</f>
        <v>#REF!</v>
      </c>
      <c r="T14" s="34" t="e">
        <f>AND(#REF!,"AAAAADm3/RM=")</f>
        <v>#REF!</v>
      </c>
      <c r="U14" s="34" t="e">
        <f>AND(#REF!,"AAAAADm3/RQ=")</f>
        <v>#REF!</v>
      </c>
      <c r="V14" s="34" t="e">
        <f>AND(#REF!,"AAAAADm3/RU=")</f>
        <v>#REF!</v>
      </c>
      <c r="W14" s="34" t="e">
        <f>AND(#REF!,"AAAAADm3/RY=")</f>
        <v>#REF!</v>
      </c>
      <c r="X14" s="34" t="e">
        <f>AND(#REF!,"AAAAADm3/Rc=")</f>
        <v>#REF!</v>
      </c>
      <c r="Y14" s="34" t="e">
        <f>AND(#REF!,"AAAAADm3/Rg=")</f>
        <v>#REF!</v>
      </c>
      <c r="Z14" s="34" t="e">
        <f>AND(#REF!,"AAAAADm3/Rk=")</f>
        <v>#REF!</v>
      </c>
      <c r="AA14" s="34" t="e">
        <f>AND(#REF!,"AAAAADm3/Ro=")</f>
        <v>#REF!</v>
      </c>
      <c r="AB14" s="34" t="e">
        <f>AND(#REF!,"AAAAADm3/Rs=")</f>
        <v>#REF!</v>
      </c>
      <c r="AC14" s="34" t="e">
        <f>AND(#REF!,"AAAAADm3/Rw=")</f>
        <v>#REF!</v>
      </c>
      <c r="AD14" s="34" t="e">
        <f>AND(#REF!,"AAAAADm3/R0=")</f>
        <v>#REF!</v>
      </c>
      <c r="AE14" s="34" t="e">
        <f>AND(#REF!,"AAAAADm3/R4=")</f>
        <v>#REF!</v>
      </c>
      <c r="AF14" s="34" t="e">
        <f>AND(#REF!,"AAAAADm3/R8=")</f>
        <v>#REF!</v>
      </c>
      <c r="AG14" s="34" t="e">
        <f>AND(#REF!,"AAAAADm3/SA=")</f>
        <v>#REF!</v>
      </c>
      <c r="AH14" s="34" t="e">
        <f>AND(#REF!,"AAAAADm3/SE=")</f>
        <v>#REF!</v>
      </c>
      <c r="AI14" s="34" t="e">
        <f>AND(#REF!,"AAAAADm3/SI=")</f>
        <v>#REF!</v>
      </c>
      <c r="AJ14" s="34" t="e">
        <f>AND(#REF!,"AAAAADm3/SM=")</f>
        <v>#REF!</v>
      </c>
      <c r="AK14" s="34" t="e">
        <f>AND(#REF!,"AAAAADm3/SQ=")</f>
        <v>#REF!</v>
      </c>
      <c r="AL14" s="34" t="e">
        <f>AND(#REF!,"AAAAADm3/SU=")</f>
        <v>#REF!</v>
      </c>
      <c r="AM14" s="34" t="e">
        <f>AND(#REF!,"AAAAADm3/SY=")</f>
        <v>#REF!</v>
      </c>
      <c r="AN14" s="34" t="e">
        <f>AND(#REF!,"AAAAADm3/Sc=")</f>
        <v>#REF!</v>
      </c>
      <c r="AO14" s="34" t="e">
        <f>AND(#REF!,"AAAAADm3/Sg=")</f>
        <v>#REF!</v>
      </c>
      <c r="AP14" s="34" t="e">
        <f>AND(#REF!,"AAAAADm3/Sk=")</f>
        <v>#REF!</v>
      </c>
      <c r="AQ14" s="34" t="e">
        <f>AND(#REF!,"AAAAADm3/So=")</f>
        <v>#REF!</v>
      </c>
      <c r="AR14" s="34" t="e">
        <f>AND(#REF!,"AAAAADm3/Ss=")</f>
        <v>#REF!</v>
      </c>
      <c r="AS14" s="34" t="e">
        <f>AND(#REF!,"AAAAADm3/Sw=")</f>
        <v>#REF!</v>
      </c>
      <c r="AT14" s="34" t="e">
        <f>AND(#REF!,"AAAAADm3/S0=")</f>
        <v>#REF!</v>
      </c>
      <c r="AU14" s="34" t="e">
        <f>AND(#REF!,"AAAAADm3/S4=")</f>
        <v>#REF!</v>
      </c>
      <c r="AV14" s="34" t="e">
        <f>AND(#REF!,"AAAAADm3/S8=")</f>
        <v>#REF!</v>
      </c>
      <c r="AW14" s="34" t="e">
        <f>AND(#REF!,"AAAAADm3/TA=")</f>
        <v>#REF!</v>
      </c>
      <c r="AX14" s="34" t="e">
        <f>AND(#REF!,"AAAAADm3/TE=")</f>
        <v>#REF!</v>
      </c>
      <c r="AY14" s="34" t="e">
        <f>AND(#REF!,"AAAAADm3/TI=")</f>
        <v>#REF!</v>
      </c>
      <c r="AZ14" s="34" t="e">
        <f>AND(#REF!,"AAAAADm3/TM=")</f>
        <v>#REF!</v>
      </c>
      <c r="BA14" s="34" t="e">
        <f>AND(#REF!,"AAAAADm3/TQ=")</f>
        <v>#REF!</v>
      </c>
      <c r="BB14" s="34" t="e">
        <f>AND(#REF!,"AAAAADm3/TU=")</f>
        <v>#REF!</v>
      </c>
      <c r="BC14" s="34" t="e">
        <f>AND(#REF!,"AAAAADm3/TY=")</f>
        <v>#REF!</v>
      </c>
      <c r="BD14" s="34" t="e">
        <f>IF(#REF!,"AAAAADm3/Tc=",0)</f>
        <v>#REF!</v>
      </c>
      <c r="BE14" s="34" t="e">
        <f>AND(#REF!,"AAAAADm3/Tg=")</f>
        <v>#REF!</v>
      </c>
      <c r="BF14" s="34" t="e">
        <f>AND(#REF!,"AAAAADm3/Tk=")</f>
        <v>#REF!</v>
      </c>
      <c r="BG14" s="34" t="e">
        <f>AND(#REF!,"AAAAADm3/To=")</f>
        <v>#REF!</v>
      </c>
      <c r="BH14" s="34" t="e">
        <f>AND(#REF!,"AAAAADm3/Ts=")</f>
        <v>#REF!</v>
      </c>
      <c r="BI14" s="34" t="e">
        <f>AND(#REF!,"AAAAADm3/Tw=")</f>
        <v>#REF!</v>
      </c>
      <c r="BJ14" s="34" t="e">
        <f>AND(#REF!,"AAAAADm3/T0=")</f>
        <v>#REF!</v>
      </c>
      <c r="BK14" s="34" t="e">
        <f>AND(#REF!,"AAAAADm3/T4=")</f>
        <v>#REF!</v>
      </c>
      <c r="BL14" s="34" t="e">
        <f>AND(#REF!,"AAAAADm3/T8=")</f>
        <v>#REF!</v>
      </c>
      <c r="BM14" s="34" t="e">
        <f>AND(#REF!,"AAAAADm3/UA=")</f>
        <v>#REF!</v>
      </c>
      <c r="BN14" s="34" t="e">
        <f>AND(#REF!,"AAAAADm3/UE=")</f>
        <v>#REF!</v>
      </c>
      <c r="BO14" s="34" t="e">
        <f>AND(#REF!,"AAAAADm3/UI=")</f>
        <v>#REF!</v>
      </c>
      <c r="BP14" s="34" t="e">
        <f>AND(#REF!,"AAAAADm3/UM=")</f>
        <v>#REF!</v>
      </c>
      <c r="BQ14" s="34" t="e">
        <f>AND(#REF!,"AAAAADm3/UQ=")</f>
        <v>#REF!</v>
      </c>
      <c r="BR14" s="34" t="e">
        <f>AND(#REF!,"AAAAADm3/UU=")</f>
        <v>#REF!</v>
      </c>
      <c r="BS14" s="34" t="e">
        <f>AND(#REF!,"AAAAADm3/UY=")</f>
        <v>#REF!</v>
      </c>
      <c r="BT14" s="34" t="e">
        <f>AND(#REF!,"AAAAADm3/Uc=")</f>
        <v>#REF!</v>
      </c>
      <c r="BU14" s="34" t="e">
        <f>AND(#REF!,"AAAAADm3/Ug=")</f>
        <v>#REF!</v>
      </c>
      <c r="BV14" s="34" t="e">
        <f>AND(#REF!,"AAAAADm3/Uk=")</f>
        <v>#REF!</v>
      </c>
      <c r="BW14" s="34" t="e">
        <f>AND(#REF!,"AAAAADm3/Uo=")</f>
        <v>#REF!</v>
      </c>
      <c r="BX14" s="34" t="e">
        <f>AND(#REF!,"AAAAADm3/Us=")</f>
        <v>#REF!</v>
      </c>
      <c r="BY14" s="34" t="e">
        <f>AND(#REF!,"AAAAADm3/Uw=")</f>
        <v>#REF!</v>
      </c>
      <c r="BZ14" s="34" t="e">
        <f>AND(#REF!,"AAAAADm3/U0=")</f>
        <v>#REF!</v>
      </c>
      <c r="CA14" s="34" t="e">
        <f>AND(#REF!,"AAAAADm3/U4=")</f>
        <v>#REF!</v>
      </c>
      <c r="CB14" s="34" t="e">
        <f>AND(#REF!,"AAAAADm3/U8=")</f>
        <v>#REF!</v>
      </c>
      <c r="CC14" s="34" t="e">
        <f>AND(#REF!,"AAAAADm3/VA=")</f>
        <v>#REF!</v>
      </c>
      <c r="CD14" s="34" t="e">
        <f>AND(#REF!,"AAAAADm3/VE=")</f>
        <v>#REF!</v>
      </c>
      <c r="CE14" s="34" t="e">
        <f>AND(#REF!,"AAAAADm3/VI=")</f>
        <v>#REF!</v>
      </c>
      <c r="CF14" s="34" t="e">
        <f>AND(#REF!,"AAAAADm3/VM=")</f>
        <v>#REF!</v>
      </c>
      <c r="CG14" s="34" t="e">
        <f>AND(#REF!,"AAAAADm3/VQ=")</f>
        <v>#REF!</v>
      </c>
      <c r="CH14" s="34" t="e">
        <f>AND(#REF!,"AAAAADm3/VU=")</f>
        <v>#REF!</v>
      </c>
      <c r="CI14" s="34" t="e">
        <f>AND(#REF!,"AAAAADm3/VY=")</f>
        <v>#REF!</v>
      </c>
      <c r="CJ14" s="34" t="e">
        <f>AND(#REF!,"AAAAADm3/Vc=")</f>
        <v>#REF!</v>
      </c>
      <c r="CK14" s="34" t="e">
        <f>AND(#REF!,"AAAAADm3/Vg=")</f>
        <v>#REF!</v>
      </c>
      <c r="CL14" s="34" t="e">
        <f>AND(#REF!,"AAAAADm3/Vk=")</f>
        <v>#REF!</v>
      </c>
      <c r="CM14" s="34" t="e">
        <f>AND(#REF!,"AAAAADm3/Vo=")</f>
        <v>#REF!</v>
      </c>
      <c r="CN14" s="34" t="e">
        <f>AND(#REF!,"AAAAADm3/Vs=")</f>
        <v>#REF!</v>
      </c>
      <c r="CO14" s="34" t="e">
        <f>AND(#REF!,"AAAAADm3/Vw=")</f>
        <v>#REF!</v>
      </c>
      <c r="CP14" s="34" t="e">
        <f>AND(#REF!,"AAAAADm3/V0=")</f>
        <v>#REF!</v>
      </c>
      <c r="CQ14" s="34" t="e">
        <f>AND(#REF!,"AAAAADm3/V4=")</f>
        <v>#REF!</v>
      </c>
      <c r="CR14" s="34" t="e">
        <f>AND(#REF!,"AAAAADm3/V8=")</f>
        <v>#REF!</v>
      </c>
      <c r="CS14" s="34" t="e">
        <f>AND(#REF!,"AAAAADm3/WA=")</f>
        <v>#REF!</v>
      </c>
      <c r="CT14" s="34" t="e">
        <f>AND(#REF!,"AAAAADm3/WE=")</f>
        <v>#REF!</v>
      </c>
      <c r="CU14" s="34" t="e">
        <f>AND(#REF!,"AAAAADm3/WI=")</f>
        <v>#REF!</v>
      </c>
      <c r="CV14" s="34" t="e">
        <f>AND(#REF!,"AAAAADm3/WM=")</f>
        <v>#REF!</v>
      </c>
      <c r="CW14" s="34" t="e">
        <f>AND(#REF!,"AAAAADm3/WQ=")</f>
        <v>#REF!</v>
      </c>
      <c r="CX14" s="34" t="e">
        <f>AND(#REF!,"AAAAADm3/WU=")</f>
        <v>#REF!</v>
      </c>
      <c r="CY14" s="34" t="e">
        <f>AND(#REF!,"AAAAADm3/WY=")</f>
        <v>#REF!</v>
      </c>
      <c r="CZ14" s="34" t="e">
        <f>AND(#REF!,"AAAAADm3/Wc=")</f>
        <v>#REF!</v>
      </c>
      <c r="DA14" s="34" t="e">
        <f>AND(#REF!,"AAAAADm3/Wg=")</f>
        <v>#REF!</v>
      </c>
      <c r="DB14" s="34" t="e">
        <f>AND(#REF!,"AAAAADm3/Wk=")</f>
        <v>#REF!</v>
      </c>
      <c r="DC14" s="34" t="e">
        <f>AND(#REF!,"AAAAADm3/Wo=")</f>
        <v>#REF!</v>
      </c>
      <c r="DD14" s="34" t="e">
        <f>AND(#REF!,"AAAAADm3/Ws=")</f>
        <v>#REF!</v>
      </c>
      <c r="DE14" s="34" t="e">
        <f>AND(#REF!,"AAAAADm3/Ww=")</f>
        <v>#REF!</v>
      </c>
      <c r="DF14" s="34" t="e">
        <f>AND(#REF!,"AAAAADm3/W0=")</f>
        <v>#REF!</v>
      </c>
      <c r="DG14" s="34" t="e">
        <f>AND(#REF!,"AAAAADm3/W4=")</f>
        <v>#REF!</v>
      </c>
      <c r="DH14" s="34" t="e">
        <f>AND(#REF!,"AAAAADm3/W8=")</f>
        <v>#REF!</v>
      </c>
      <c r="DI14" s="34" t="e">
        <f>AND(#REF!,"AAAAADm3/XA=")</f>
        <v>#REF!</v>
      </c>
      <c r="DJ14" s="34" t="e">
        <f>AND(#REF!,"AAAAADm3/XE=")</f>
        <v>#REF!</v>
      </c>
      <c r="DK14" s="34" t="e">
        <f>AND(#REF!,"AAAAADm3/XI=")</f>
        <v>#REF!</v>
      </c>
      <c r="DL14" s="34" t="e">
        <f>AND(#REF!,"AAAAADm3/XM=")</f>
        <v>#REF!</v>
      </c>
      <c r="DM14" s="34" t="e">
        <f>AND(#REF!,"AAAAADm3/XQ=")</f>
        <v>#REF!</v>
      </c>
      <c r="DN14" s="34" t="e">
        <f>AND(#REF!,"AAAAADm3/XU=")</f>
        <v>#REF!</v>
      </c>
      <c r="DO14" s="34" t="e">
        <f>AND(#REF!,"AAAAADm3/XY=")</f>
        <v>#REF!</v>
      </c>
      <c r="DP14" s="34" t="e">
        <f>AND(#REF!,"AAAAADm3/Xc=")</f>
        <v>#REF!</v>
      </c>
      <c r="DQ14" s="34" t="e">
        <f>AND(#REF!,"AAAAADm3/Xg=")</f>
        <v>#REF!</v>
      </c>
      <c r="DR14" s="34" t="e">
        <f>AND(#REF!,"AAAAADm3/Xk=")</f>
        <v>#REF!</v>
      </c>
      <c r="DS14" s="34" t="e">
        <f>AND(#REF!,"AAAAADm3/Xo=")</f>
        <v>#REF!</v>
      </c>
      <c r="DT14" s="34" t="e">
        <f>AND(#REF!,"AAAAADm3/Xs=")</f>
        <v>#REF!</v>
      </c>
      <c r="DU14" s="34" t="e">
        <f>AND(#REF!,"AAAAADm3/Xw=")</f>
        <v>#REF!</v>
      </c>
      <c r="DV14" s="34" t="e">
        <f>AND(#REF!,"AAAAADm3/X0=")</f>
        <v>#REF!</v>
      </c>
      <c r="DW14" s="34" t="e">
        <f>AND(#REF!,"AAAAADm3/X4=")</f>
        <v>#REF!</v>
      </c>
      <c r="DX14" s="34" t="e">
        <f>AND(#REF!,"AAAAADm3/X8=")</f>
        <v>#REF!</v>
      </c>
      <c r="DY14" s="34" t="e">
        <f>IF(#REF!,"AAAAADm3/YA=",0)</f>
        <v>#REF!</v>
      </c>
      <c r="DZ14" s="34" t="e">
        <f>AND(#REF!,"AAAAADm3/YE=")</f>
        <v>#REF!</v>
      </c>
      <c r="EA14" s="34" t="e">
        <f>AND(#REF!,"AAAAADm3/YI=")</f>
        <v>#REF!</v>
      </c>
      <c r="EB14" s="34" t="e">
        <f>AND(#REF!,"AAAAADm3/YM=")</f>
        <v>#REF!</v>
      </c>
      <c r="EC14" s="34" t="e">
        <f>AND(#REF!,"AAAAADm3/YQ=")</f>
        <v>#REF!</v>
      </c>
      <c r="ED14" s="34" t="e">
        <f>AND(#REF!,"AAAAADm3/YU=")</f>
        <v>#REF!</v>
      </c>
      <c r="EE14" s="34" t="e">
        <f>AND(#REF!,"AAAAADm3/YY=")</f>
        <v>#REF!</v>
      </c>
      <c r="EF14" s="34" t="e">
        <f>AND(#REF!,"AAAAADm3/Yc=")</f>
        <v>#REF!</v>
      </c>
      <c r="EG14" s="34" t="e">
        <f>AND(#REF!,"AAAAADm3/Yg=")</f>
        <v>#REF!</v>
      </c>
      <c r="EH14" s="34" t="e">
        <f>AND(#REF!,"AAAAADm3/Yk=")</f>
        <v>#REF!</v>
      </c>
      <c r="EI14" s="34" t="e">
        <f>AND(#REF!,"AAAAADm3/Yo=")</f>
        <v>#REF!</v>
      </c>
      <c r="EJ14" s="34" t="e">
        <f>AND(#REF!,"AAAAADm3/Ys=")</f>
        <v>#REF!</v>
      </c>
      <c r="EK14" s="34" t="e">
        <f>AND(#REF!,"AAAAADm3/Yw=")</f>
        <v>#REF!</v>
      </c>
      <c r="EL14" s="34" t="e">
        <f>AND(#REF!,"AAAAADm3/Y0=")</f>
        <v>#REF!</v>
      </c>
      <c r="EM14" s="34" t="e">
        <f>AND(#REF!,"AAAAADm3/Y4=")</f>
        <v>#REF!</v>
      </c>
      <c r="EN14" s="34" t="e">
        <f>AND(#REF!,"AAAAADm3/Y8=")</f>
        <v>#REF!</v>
      </c>
      <c r="EO14" s="34" t="e">
        <f>AND(#REF!,"AAAAADm3/ZA=")</f>
        <v>#REF!</v>
      </c>
      <c r="EP14" s="34" t="e">
        <f>AND(#REF!,"AAAAADm3/ZE=")</f>
        <v>#REF!</v>
      </c>
      <c r="EQ14" s="34" t="e">
        <f>AND(#REF!,"AAAAADm3/ZI=")</f>
        <v>#REF!</v>
      </c>
      <c r="ER14" s="34" t="e">
        <f>AND(#REF!,"AAAAADm3/ZM=")</f>
        <v>#REF!</v>
      </c>
      <c r="ES14" s="34" t="e">
        <f>AND(#REF!,"AAAAADm3/ZQ=")</f>
        <v>#REF!</v>
      </c>
      <c r="ET14" s="34" t="e">
        <f>AND(#REF!,"AAAAADm3/ZU=")</f>
        <v>#REF!</v>
      </c>
      <c r="EU14" s="34" t="e">
        <f>AND(#REF!,"AAAAADm3/ZY=")</f>
        <v>#REF!</v>
      </c>
      <c r="EV14" s="34" t="e">
        <f>AND(#REF!,"AAAAADm3/Zc=")</f>
        <v>#REF!</v>
      </c>
      <c r="EW14" s="34" t="e">
        <f>AND(#REF!,"AAAAADm3/Zg=")</f>
        <v>#REF!</v>
      </c>
      <c r="EX14" s="34" t="e">
        <f>AND(#REF!,"AAAAADm3/Zk=")</f>
        <v>#REF!</v>
      </c>
      <c r="EY14" s="34" t="e">
        <f>AND(#REF!,"AAAAADm3/Zo=")</f>
        <v>#REF!</v>
      </c>
      <c r="EZ14" s="34" t="e">
        <f>AND(#REF!,"AAAAADm3/Zs=")</f>
        <v>#REF!</v>
      </c>
      <c r="FA14" s="34" t="e">
        <f>AND(#REF!,"AAAAADm3/Zw=")</f>
        <v>#REF!</v>
      </c>
      <c r="FB14" s="34" t="e">
        <f>AND(#REF!,"AAAAADm3/Z0=")</f>
        <v>#REF!</v>
      </c>
      <c r="FC14" s="34" t="e">
        <f>AND(#REF!,"AAAAADm3/Z4=")</f>
        <v>#REF!</v>
      </c>
      <c r="FD14" s="34" t="e">
        <f>AND(#REF!,"AAAAADm3/Z8=")</f>
        <v>#REF!</v>
      </c>
      <c r="FE14" s="34" t="e">
        <f>AND(#REF!,"AAAAADm3/aA=")</f>
        <v>#REF!</v>
      </c>
      <c r="FF14" s="34" t="e">
        <f>AND(#REF!,"AAAAADm3/aE=")</f>
        <v>#REF!</v>
      </c>
      <c r="FG14" s="34" t="e">
        <f>AND(#REF!,"AAAAADm3/aI=")</f>
        <v>#REF!</v>
      </c>
      <c r="FH14" s="34" t="e">
        <f>AND(#REF!,"AAAAADm3/aM=")</f>
        <v>#REF!</v>
      </c>
      <c r="FI14" s="34" t="e">
        <f>AND(#REF!,"AAAAADm3/aQ=")</f>
        <v>#REF!</v>
      </c>
      <c r="FJ14" s="34" t="e">
        <f>AND(#REF!,"AAAAADm3/aU=")</f>
        <v>#REF!</v>
      </c>
      <c r="FK14" s="34" t="e">
        <f>AND(#REF!,"AAAAADm3/aY=")</f>
        <v>#REF!</v>
      </c>
      <c r="FL14" s="34" t="e">
        <f>AND(#REF!,"AAAAADm3/ac=")</f>
        <v>#REF!</v>
      </c>
      <c r="FM14" s="34" t="e">
        <f>AND(#REF!,"AAAAADm3/ag=")</f>
        <v>#REF!</v>
      </c>
      <c r="FN14" s="34" t="e">
        <f>AND(#REF!,"AAAAADm3/ak=")</f>
        <v>#REF!</v>
      </c>
      <c r="FO14" s="34" t="e">
        <f>AND(#REF!,"AAAAADm3/ao=")</f>
        <v>#REF!</v>
      </c>
      <c r="FP14" s="34" t="e">
        <f>AND(#REF!,"AAAAADm3/as=")</f>
        <v>#REF!</v>
      </c>
      <c r="FQ14" s="34" t="e">
        <f>AND(#REF!,"AAAAADm3/aw=")</f>
        <v>#REF!</v>
      </c>
      <c r="FR14" s="34" t="e">
        <f>AND(#REF!,"AAAAADm3/a0=")</f>
        <v>#REF!</v>
      </c>
      <c r="FS14" s="34" t="e">
        <f>AND(#REF!,"AAAAADm3/a4=")</f>
        <v>#REF!</v>
      </c>
      <c r="FT14" s="34" t="e">
        <f>AND(#REF!,"AAAAADm3/a8=")</f>
        <v>#REF!</v>
      </c>
      <c r="FU14" s="34" t="e">
        <f>AND(#REF!,"AAAAADm3/bA=")</f>
        <v>#REF!</v>
      </c>
      <c r="FV14" s="34" t="e">
        <f>AND(#REF!,"AAAAADm3/bE=")</f>
        <v>#REF!</v>
      </c>
      <c r="FW14" s="34" t="e">
        <f>AND(#REF!,"AAAAADm3/bI=")</f>
        <v>#REF!</v>
      </c>
      <c r="FX14" s="34" t="e">
        <f>AND(#REF!,"AAAAADm3/bM=")</f>
        <v>#REF!</v>
      </c>
      <c r="FY14" s="34" t="e">
        <f>AND(#REF!,"AAAAADm3/bQ=")</f>
        <v>#REF!</v>
      </c>
      <c r="FZ14" s="34" t="e">
        <f>AND(#REF!,"AAAAADm3/bU=")</f>
        <v>#REF!</v>
      </c>
      <c r="GA14" s="34" t="e">
        <f>AND(#REF!,"AAAAADm3/bY=")</f>
        <v>#REF!</v>
      </c>
      <c r="GB14" s="34" t="e">
        <f>AND(#REF!,"AAAAADm3/bc=")</f>
        <v>#REF!</v>
      </c>
      <c r="GC14" s="34" t="e">
        <f>AND(#REF!,"AAAAADm3/bg=")</f>
        <v>#REF!</v>
      </c>
      <c r="GD14" s="34" t="e">
        <f>AND(#REF!,"AAAAADm3/bk=")</f>
        <v>#REF!</v>
      </c>
      <c r="GE14" s="34" t="e">
        <f>AND(#REF!,"AAAAADm3/bo=")</f>
        <v>#REF!</v>
      </c>
      <c r="GF14" s="34" t="e">
        <f>AND(#REF!,"AAAAADm3/bs=")</f>
        <v>#REF!</v>
      </c>
      <c r="GG14" s="34" t="e">
        <f>AND(#REF!,"AAAAADm3/bw=")</f>
        <v>#REF!</v>
      </c>
      <c r="GH14" s="34" t="e">
        <f>AND(#REF!,"AAAAADm3/b0=")</f>
        <v>#REF!</v>
      </c>
      <c r="GI14" s="34" t="e">
        <f>AND(#REF!,"AAAAADm3/b4=")</f>
        <v>#REF!</v>
      </c>
      <c r="GJ14" s="34" t="e">
        <f>AND(#REF!,"AAAAADm3/b8=")</f>
        <v>#REF!</v>
      </c>
      <c r="GK14" s="34" t="e">
        <f>AND(#REF!,"AAAAADm3/cA=")</f>
        <v>#REF!</v>
      </c>
      <c r="GL14" s="34" t="e">
        <f>AND(#REF!,"AAAAADm3/cE=")</f>
        <v>#REF!</v>
      </c>
      <c r="GM14" s="34" t="e">
        <f>AND(#REF!,"AAAAADm3/cI=")</f>
        <v>#REF!</v>
      </c>
      <c r="GN14" s="34" t="e">
        <f>AND(#REF!,"AAAAADm3/cM=")</f>
        <v>#REF!</v>
      </c>
      <c r="GO14" s="34" t="e">
        <f>AND(#REF!,"AAAAADm3/cQ=")</f>
        <v>#REF!</v>
      </c>
      <c r="GP14" s="34" t="e">
        <f>AND(#REF!,"AAAAADm3/cU=")</f>
        <v>#REF!</v>
      </c>
      <c r="GQ14" s="34" t="e">
        <f>AND(#REF!,"AAAAADm3/cY=")</f>
        <v>#REF!</v>
      </c>
      <c r="GR14" s="34" t="e">
        <f>AND(#REF!,"AAAAADm3/cc=")</f>
        <v>#REF!</v>
      </c>
      <c r="GS14" s="34" t="e">
        <f>AND(#REF!,"AAAAADm3/cg=")</f>
        <v>#REF!</v>
      </c>
      <c r="GT14" s="34" t="e">
        <f>IF(#REF!,"AAAAADm3/ck=",0)</f>
        <v>#REF!</v>
      </c>
      <c r="GU14" s="34" t="e">
        <f>AND(#REF!,"AAAAADm3/co=")</f>
        <v>#REF!</v>
      </c>
      <c r="GV14" s="34" t="e">
        <f>AND(#REF!,"AAAAADm3/cs=")</f>
        <v>#REF!</v>
      </c>
      <c r="GW14" s="34" t="e">
        <f>AND(#REF!,"AAAAADm3/cw=")</f>
        <v>#REF!</v>
      </c>
      <c r="GX14" s="34" t="e">
        <f>AND(#REF!,"AAAAADm3/c0=")</f>
        <v>#REF!</v>
      </c>
      <c r="GY14" s="34" t="e">
        <f>AND(#REF!,"AAAAADm3/c4=")</f>
        <v>#REF!</v>
      </c>
      <c r="GZ14" s="34" t="e">
        <f>AND(#REF!,"AAAAADm3/c8=")</f>
        <v>#REF!</v>
      </c>
      <c r="HA14" s="34" t="e">
        <f>AND(#REF!,"AAAAADm3/dA=")</f>
        <v>#REF!</v>
      </c>
      <c r="HB14" s="34" t="e">
        <f>AND(#REF!,"AAAAADm3/dE=")</f>
        <v>#REF!</v>
      </c>
      <c r="HC14" s="34" t="e">
        <f>AND(#REF!,"AAAAADm3/dI=")</f>
        <v>#REF!</v>
      </c>
      <c r="HD14" s="34" t="e">
        <f>AND(#REF!,"AAAAADm3/dM=")</f>
        <v>#REF!</v>
      </c>
      <c r="HE14" s="34" t="e">
        <f>AND(#REF!,"AAAAADm3/dQ=")</f>
        <v>#REF!</v>
      </c>
      <c r="HF14" s="34" t="e">
        <f>AND(#REF!,"AAAAADm3/dU=")</f>
        <v>#REF!</v>
      </c>
      <c r="HG14" s="34" t="e">
        <f>AND(#REF!,"AAAAADm3/dY=")</f>
        <v>#REF!</v>
      </c>
      <c r="HH14" s="34" t="e">
        <f>AND(#REF!,"AAAAADm3/dc=")</f>
        <v>#REF!</v>
      </c>
      <c r="HI14" s="34" t="e">
        <f>AND(#REF!,"AAAAADm3/dg=")</f>
        <v>#REF!</v>
      </c>
      <c r="HJ14" s="34" t="e">
        <f>AND(#REF!,"AAAAADm3/dk=")</f>
        <v>#REF!</v>
      </c>
      <c r="HK14" s="34" t="e">
        <f>AND(#REF!,"AAAAADm3/do=")</f>
        <v>#REF!</v>
      </c>
      <c r="HL14" s="34" t="e">
        <f>AND(#REF!,"AAAAADm3/ds=")</f>
        <v>#REF!</v>
      </c>
      <c r="HM14" s="34" t="e">
        <f>AND(#REF!,"AAAAADm3/dw=")</f>
        <v>#REF!</v>
      </c>
      <c r="HN14" s="34" t="e">
        <f>AND(#REF!,"AAAAADm3/d0=")</f>
        <v>#REF!</v>
      </c>
      <c r="HO14" s="34" t="e">
        <f>AND(#REF!,"AAAAADm3/d4=")</f>
        <v>#REF!</v>
      </c>
      <c r="HP14" s="34" t="e">
        <f>AND(#REF!,"AAAAADm3/d8=")</f>
        <v>#REF!</v>
      </c>
      <c r="HQ14" s="34" t="e">
        <f>AND(#REF!,"AAAAADm3/eA=")</f>
        <v>#REF!</v>
      </c>
      <c r="HR14" s="34" t="e">
        <f>AND(#REF!,"AAAAADm3/eE=")</f>
        <v>#REF!</v>
      </c>
      <c r="HS14" s="34" t="e">
        <f>AND(#REF!,"AAAAADm3/eI=")</f>
        <v>#REF!</v>
      </c>
      <c r="HT14" s="34" t="e">
        <f>AND(#REF!,"AAAAADm3/eM=")</f>
        <v>#REF!</v>
      </c>
      <c r="HU14" s="34" t="e">
        <f>AND(#REF!,"AAAAADm3/eQ=")</f>
        <v>#REF!</v>
      </c>
      <c r="HV14" s="34" t="e">
        <f>AND(#REF!,"AAAAADm3/eU=")</f>
        <v>#REF!</v>
      </c>
      <c r="HW14" s="34" t="e">
        <f>AND(#REF!,"AAAAADm3/eY=")</f>
        <v>#REF!</v>
      </c>
      <c r="HX14" s="34" t="e">
        <f>AND(#REF!,"AAAAADm3/ec=")</f>
        <v>#REF!</v>
      </c>
      <c r="HY14" s="34" t="e">
        <f>AND(#REF!,"AAAAADm3/eg=")</f>
        <v>#REF!</v>
      </c>
      <c r="HZ14" s="34" t="e">
        <f>AND(#REF!,"AAAAADm3/ek=")</f>
        <v>#REF!</v>
      </c>
      <c r="IA14" s="34" t="e">
        <f>AND(#REF!,"AAAAADm3/eo=")</f>
        <v>#REF!</v>
      </c>
      <c r="IB14" s="34" t="e">
        <f>AND(#REF!,"AAAAADm3/es=")</f>
        <v>#REF!</v>
      </c>
      <c r="IC14" s="34" t="e">
        <f>AND(#REF!,"AAAAADm3/ew=")</f>
        <v>#REF!</v>
      </c>
      <c r="ID14" s="34" t="e">
        <f>AND(#REF!,"AAAAADm3/e0=")</f>
        <v>#REF!</v>
      </c>
      <c r="IE14" s="34" t="e">
        <f>AND(#REF!,"AAAAADm3/e4=")</f>
        <v>#REF!</v>
      </c>
      <c r="IF14" s="34" t="e">
        <f>AND(#REF!,"AAAAADm3/e8=")</f>
        <v>#REF!</v>
      </c>
      <c r="IG14" s="34" t="e">
        <f>AND(#REF!,"AAAAADm3/fA=")</f>
        <v>#REF!</v>
      </c>
      <c r="IH14" s="34" t="e">
        <f>AND(#REF!,"AAAAADm3/fE=")</f>
        <v>#REF!</v>
      </c>
      <c r="II14" s="34" t="e">
        <f>AND(#REF!,"AAAAADm3/fI=")</f>
        <v>#REF!</v>
      </c>
      <c r="IJ14" s="34" t="e">
        <f>AND(#REF!,"AAAAADm3/fM=")</f>
        <v>#REF!</v>
      </c>
      <c r="IK14" s="34" t="e">
        <f>AND(#REF!,"AAAAADm3/fQ=")</f>
        <v>#REF!</v>
      </c>
      <c r="IL14" s="34" t="e">
        <f>AND(#REF!,"AAAAADm3/fU=")</f>
        <v>#REF!</v>
      </c>
      <c r="IM14" s="34" t="e">
        <f>AND(#REF!,"AAAAADm3/fY=")</f>
        <v>#REF!</v>
      </c>
      <c r="IN14" s="34" t="e">
        <f>AND(#REF!,"AAAAADm3/fc=")</f>
        <v>#REF!</v>
      </c>
      <c r="IO14" s="34" t="e">
        <f>AND(#REF!,"AAAAADm3/fg=")</f>
        <v>#REF!</v>
      </c>
      <c r="IP14" s="34" t="e">
        <f>AND(#REF!,"AAAAADm3/fk=")</f>
        <v>#REF!</v>
      </c>
      <c r="IQ14" s="34" t="e">
        <f>AND(#REF!,"AAAAADm3/fo=")</f>
        <v>#REF!</v>
      </c>
      <c r="IR14" s="34" t="e">
        <f>AND(#REF!,"AAAAADm3/fs=")</f>
        <v>#REF!</v>
      </c>
      <c r="IS14" s="34" t="e">
        <f>AND(#REF!,"AAAAADm3/fw=")</f>
        <v>#REF!</v>
      </c>
      <c r="IT14" s="34" t="e">
        <f>AND(#REF!,"AAAAADm3/f0=")</f>
        <v>#REF!</v>
      </c>
      <c r="IU14" s="34" t="e">
        <f>AND(#REF!,"AAAAADm3/f4=")</f>
        <v>#REF!</v>
      </c>
      <c r="IV14" s="34" t="e">
        <f>AND(#REF!,"AAAAADm3/f8=")</f>
        <v>#REF!</v>
      </c>
    </row>
    <row r="15" spans="1:256" ht="12.75" customHeight="1" x14ac:dyDescent="0.2">
      <c r="A15" s="34" t="e">
        <f>AND(#REF!,"AAAAACfqwAA=")</f>
        <v>#REF!</v>
      </c>
      <c r="B15" s="34" t="e">
        <f>AND(#REF!,"AAAAACfqwAE=")</f>
        <v>#REF!</v>
      </c>
      <c r="C15" s="34" t="e">
        <f>AND(#REF!,"AAAAACfqwAI=")</f>
        <v>#REF!</v>
      </c>
      <c r="D15" s="34" t="e">
        <f>AND(#REF!,"AAAAACfqwAM=")</f>
        <v>#REF!</v>
      </c>
      <c r="E15" s="34" t="e">
        <f>AND(#REF!,"AAAAACfqwAQ=")</f>
        <v>#REF!</v>
      </c>
      <c r="F15" s="34" t="e">
        <f>AND(#REF!,"AAAAACfqwAU=")</f>
        <v>#REF!</v>
      </c>
      <c r="G15" s="34" t="e">
        <f>AND(#REF!,"AAAAACfqwAY=")</f>
        <v>#REF!</v>
      </c>
      <c r="H15" s="34" t="e">
        <f>AND(#REF!,"AAAAACfqwAc=")</f>
        <v>#REF!</v>
      </c>
      <c r="I15" s="34" t="e">
        <f>AND(#REF!,"AAAAACfqwAg=")</f>
        <v>#REF!</v>
      </c>
      <c r="J15" s="34" t="e">
        <f>AND(#REF!,"AAAAACfqwAk=")</f>
        <v>#REF!</v>
      </c>
      <c r="K15" s="34" t="e">
        <f>AND(#REF!,"AAAAACfqwAo=")</f>
        <v>#REF!</v>
      </c>
      <c r="L15" s="34" t="e">
        <f>AND(#REF!,"AAAAACfqwAs=")</f>
        <v>#REF!</v>
      </c>
      <c r="M15" s="34" t="e">
        <f>AND(#REF!,"AAAAACfqwAw=")</f>
        <v>#REF!</v>
      </c>
      <c r="N15" s="34" t="e">
        <f>AND(#REF!,"AAAAACfqwA0=")</f>
        <v>#REF!</v>
      </c>
      <c r="O15" s="34" t="e">
        <f>AND(#REF!,"AAAAACfqwA4=")</f>
        <v>#REF!</v>
      </c>
      <c r="P15" s="34" t="e">
        <f>AND(#REF!,"AAAAACfqwA8=")</f>
        <v>#REF!</v>
      </c>
      <c r="Q15" s="34" t="e">
        <f>AND(#REF!,"AAAAACfqwBA=")</f>
        <v>#REF!</v>
      </c>
      <c r="R15" s="34" t="e">
        <f>AND(#REF!,"AAAAACfqwBE=")</f>
        <v>#REF!</v>
      </c>
      <c r="S15" s="34" t="e">
        <f>IF(#REF!,"AAAAACfqwBI=",0)</f>
        <v>#REF!</v>
      </c>
      <c r="T15" s="34" t="e">
        <f>AND(#REF!,"AAAAACfqwBM=")</f>
        <v>#REF!</v>
      </c>
      <c r="U15" s="34" t="e">
        <f>AND(#REF!,"AAAAACfqwBQ=")</f>
        <v>#REF!</v>
      </c>
      <c r="V15" s="34" t="e">
        <f>AND(#REF!,"AAAAACfqwBU=")</f>
        <v>#REF!</v>
      </c>
      <c r="W15" s="34" t="e">
        <f>AND(#REF!,"AAAAACfqwBY=")</f>
        <v>#REF!</v>
      </c>
      <c r="X15" s="34" t="e">
        <f>AND(#REF!,"AAAAACfqwBc=")</f>
        <v>#REF!</v>
      </c>
      <c r="Y15" s="34" t="e">
        <f>AND(#REF!,"AAAAACfqwBg=")</f>
        <v>#REF!</v>
      </c>
      <c r="Z15" s="34" t="e">
        <f>AND(#REF!,"AAAAACfqwBk=")</f>
        <v>#REF!</v>
      </c>
      <c r="AA15" s="34" t="e">
        <f>AND(#REF!,"AAAAACfqwBo=")</f>
        <v>#REF!</v>
      </c>
      <c r="AB15" s="34" t="e">
        <f>AND(#REF!,"AAAAACfqwBs=")</f>
        <v>#REF!</v>
      </c>
      <c r="AC15" s="34" t="e">
        <f>AND(#REF!,"AAAAACfqwBw=")</f>
        <v>#REF!</v>
      </c>
      <c r="AD15" s="34" t="e">
        <f>AND(#REF!,"AAAAACfqwB0=")</f>
        <v>#REF!</v>
      </c>
      <c r="AE15" s="34" t="e">
        <f>AND(#REF!,"AAAAACfqwB4=")</f>
        <v>#REF!</v>
      </c>
      <c r="AF15" s="34" t="e">
        <f>AND(#REF!,"AAAAACfqwB8=")</f>
        <v>#REF!</v>
      </c>
      <c r="AG15" s="34" t="e">
        <f>AND(#REF!,"AAAAACfqwCA=")</f>
        <v>#REF!</v>
      </c>
      <c r="AH15" s="34" t="e">
        <f>AND(#REF!,"AAAAACfqwCE=")</f>
        <v>#REF!</v>
      </c>
      <c r="AI15" s="34" t="e">
        <f>AND(#REF!,"AAAAACfqwCI=")</f>
        <v>#REF!</v>
      </c>
      <c r="AJ15" s="34" t="e">
        <f>AND(#REF!,"AAAAACfqwCM=")</f>
        <v>#REF!</v>
      </c>
      <c r="AK15" s="34" t="e">
        <f>AND(#REF!,"AAAAACfqwCQ=")</f>
        <v>#REF!</v>
      </c>
      <c r="AL15" s="34" t="e">
        <f>AND(#REF!,"AAAAACfqwCU=")</f>
        <v>#REF!</v>
      </c>
      <c r="AM15" s="34" t="e">
        <f>AND(#REF!,"AAAAACfqwCY=")</f>
        <v>#REF!</v>
      </c>
      <c r="AN15" s="34" t="e">
        <f>AND(#REF!,"AAAAACfqwCc=")</f>
        <v>#REF!</v>
      </c>
      <c r="AO15" s="34" t="e">
        <f>AND(#REF!,"AAAAACfqwCg=")</f>
        <v>#REF!</v>
      </c>
      <c r="AP15" s="34" t="e">
        <f>AND(#REF!,"AAAAACfqwCk=")</f>
        <v>#REF!</v>
      </c>
      <c r="AQ15" s="34" t="e">
        <f>AND(#REF!,"AAAAACfqwCo=")</f>
        <v>#REF!</v>
      </c>
      <c r="AR15" s="34" t="e">
        <f>AND(#REF!,"AAAAACfqwCs=")</f>
        <v>#REF!</v>
      </c>
      <c r="AS15" s="34" t="e">
        <f>AND(#REF!,"AAAAACfqwCw=")</f>
        <v>#REF!</v>
      </c>
      <c r="AT15" s="34" t="e">
        <f>AND(#REF!,"AAAAACfqwC0=")</f>
        <v>#REF!</v>
      </c>
      <c r="AU15" s="34" t="e">
        <f>AND(#REF!,"AAAAACfqwC4=")</f>
        <v>#REF!</v>
      </c>
      <c r="AV15" s="34" t="e">
        <f>AND(#REF!,"AAAAACfqwC8=")</f>
        <v>#REF!</v>
      </c>
      <c r="AW15" s="34" t="e">
        <f>AND(#REF!,"AAAAACfqwDA=")</f>
        <v>#REF!</v>
      </c>
      <c r="AX15" s="34" t="e">
        <f>AND(#REF!,"AAAAACfqwDE=")</f>
        <v>#REF!</v>
      </c>
      <c r="AY15" s="34" t="e">
        <f>AND(#REF!,"AAAAACfqwDI=")</f>
        <v>#REF!</v>
      </c>
      <c r="AZ15" s="34" t="e">
        <f>AND(#REF!,"AAAAACfqwDM=")</f>
        <v>#REF!</v>
      </c>
      <c r="BA15" s="34" t="e">
        <f>AND(#REF!,"AAAAACfqwDQ=")</f>
        <v>#REF!</v>
      </c>
      <c r="BB15" s="34" t="e">
        <f>AND(#REF!,"AAAAACfqwDU=")</f>
        <v>#REF!</v>
      </c>
      <c r="BC15" s="34" t="e">
        <f>AND(#REF!,"AAAAACfqwDY=")</f>
        <v>#REF!</v>
      </c>
      <c r="BD15" s="34" t="e">
        <f>AND(#REF!,"AAAAACfqwDc=")</f>
        <v>#REF!</v>
      </c>
      <c r="BE15" s="34" t="e">
        <f>AND(#REF!,"AAAAACfqwDg=")</f>
        <v>#REF!</v>
      </c>
      <c r="BF15" s="34" t="e">
        <f>AND(#REF!,"AAAAACfqwDk=")</f>
        <v>#REF!</v>
      </c>
      <c r="BG15" s="34" t="e">
        <f>AND(#REF!,"AAAAACfqwDo=")</f>
        <v>#REF!</v>
      </c>
      <c r="BH15" s="34" t="e">
        <f>AND(#REF!,"AAAAACfqwDs=")</f>
        <v>#REF!</v>
      </c>
      <c r="BI15" s="34" t="e">
        <f>AND(#REF!,"AAAAACfqwDw=")</f>
        <v>#REF!</v>
      </c>
      <c r="BJ15" s="34" t="e">
        <f>AND(#REF!,"AAAAACfqwD0=")</f>
        <v>#REF!</v>
      </c>
      <c r="BK15" s="34" t="e">
        <f>AND(#REF!,"AAAAACfqwD4=")</f>
        <v>#REF!</v>
      </c>
      <c r="BL15" s="34" t="e">
        <f>AND(#REF!,"AAAAACfqwD8=")</f>
        <v>#REF!</v>
      </c>
      <c r="BM15" s="34" t="e">
        <f>AND(#REF!,"AAAAACfqwEA=")</f>
        <v>#REF!</v>
      </c>
      <c r="BN15" s="34" t="e">
        <f>AND(#REF!,"AAAAACfqwEE=")</f>
        <v>#REF!</v>
      </c>
      <c r="BO15" s="34" t="e">
        <f>AND(#REF!,"AAAAACfqwEI=")</f>
        <v>#REF!</v>
      </c>
      <c r="BP15" s="34" t="e">
        <f>AND(#REF!,"AAAAACfqwEM=")</f>
        <v>#REF!</v>
      </c>
      <c r="BQ15" s="34" t="e">
        <f>AND(#REF!,"AAAAACfqwEQ=")</f>
        <v>#REF!</v>
      </c>
      <c r="BR15" s="34" t="e">
        <f>AND(#REF!,"AAAAACfqwEU=")</f>
        <v>#REF!</v>
      </c>
      <c r="BS15" s="34" t="e">
        <f>AND(#REF!,"AAAAACfqwEY=")</f>
        <v>#REF!</v>
      </c>
      <c r="BT15" s="34" t="e">
        <f>AND(#REF!,"AAAAACfqwEc=")</f>
        <v>#REF!</v>
      </c>
      <c r="BU15" s="34" t="e">
        <f>AND(#REF!,"AAAAACfqwEg=")</f>
        <v>#REF!</v>
      </c>
      <c r="BV15" s="34" t="e">
        <f>AND(#REF!,"AAAAACfqwEk=")</f>
        <v>#REF!</v>
      </c>
      <c r="BW15" s="34" t="e">
        <f>AND(#REF!,"AAAAACfqwEo=")</f>
        <v>#REF!</v>
      </c>
      <c r="BX15" s="34" t="e">
        <f>AND(#REF!,"AAAAACfqwEs=")</f>
        <v>#REF!</v>
      </c>
      <c r="BY15" s="34" t="e">
        <f>AND(#REF!,"AAAAACfqwEw=")</f>
        <v>#REF!</v>
      </c>
      <c r="BZ15" s="34" t="e">
        <f>AND(#REF!,"AAAAACfqwE0=")</f>
        <v>#REF!</v>
      </c>
      <c r="CA15" s="34" t="e">
        <f>AND(#REF!,"AAAAACfqwE4=")</f>
        <v>#REF!</v>
      </c>
      <c r="CB15" s="34" t="e">
        <f>AND(#REF!,"AAAAACfqwE8=")</f>
        <v>#REF!</v>
      </c>
      <c r="CC15" s="34" t="e">
        <f>AND(#REF!,"AAAAACfqwFA=")</f>
        <v>#REF!</v>
      </c>
      <c r="CD15" s="34" t="e">
        <f>AND(#REF!,"AAAAACfqwFE=")</f>
        <v>#REF!</v>
      </c>
      <c r="CE15" s="34" t="e">
        <f>AND(#REF!,"AAAAACfqwFI=")</f>
        <v>#REF!</v>
      </c>
      <c r="CF15" s="34" t="e">
        <f>AND(#REF!,"AAAAACfqwFM=")</f>
        <v>#REF!</v>
      </c>
      <c r="CG15" s="34" t="e">
        <f>AND(#REF!,"AAAAACfqwFQ=")</f>
        <v>#REF!</v>
      </c>
      <c r="CH15" s="34" t="e">
        <f>AND(#REF!,"AAAAACfqwFU=")</f>
        <v>#REF!</v>
      </c>
      <c r="CI15" s="34" t="e">
        <f>AND(#REF!,"AAAAACfqwFY=")</f>
        <v>#REF!</v>
      </c>
      <c r="CJ15" s="34" t="e">
        <f>AND(#REF!,"AAAAACfqwFc=")</f>
        <v>#REF!</v>
      </c>
      <c r="CK15" s="34" t="e">
        <f>AND(#REF!,"AAAAACfqwFg=")</f>
        <v>#REF!</v>
      </c>
      <c r="CL15" s="34" t="e">
        <f>AND(#REF!,"AAAAACfqwFk=")</f>
        <v>#REF!</v>
      </c>
      <c r="CM15" s="34" t="e">
        <f>AND(#REF!,"AAAAACfqwFo=")</f>
        <v>#REF!</v>
      </c>
      <c r="CN15" s="34" t="e">
        <f>IF(#REF!,"AAAAACfqwFs=",0)</f>
        <v>#REF!</v>
      </c>
      <c r="CO15" s="34" t="e">
        <f>AND(#REF!,"AAAAACfqwFw=")</f>
        <v>#REF!</v>
      </c>
      <c r="CP15" s="34" t="e">
        <f>AND(#REF!,"AAAAACfqwF0=")</f>
        <v>#REF!</v>
      </c>
      <c r="CQ15" s="34" t="e">
        <f>AND(#REF!,"AAAAACfqwF4=")</f>
        <v>#REF!</v>
      </c>
      <c r="CR15" s="34" t="e">
        <f>AND(#REF!,"AAAAACfqwF8=")</f>
        <v>#REF!</v>
      </c>
      <c r="CS15" s="34" t="e">
        <f>AND(#REF!,"AAAAACfqwGA=")</f>
        <v>#REF!</v>
      </c>
      <c r="CT15" s="34" t="e">
        <f>AND(#REF!,"AAAAACfqwGE=")</f>
        <v>#REF!</v>
      </c>
      <c r="CU15" s="34" t="e">
        <f>AND(#REF!,"AAAAACfqwGI=")</f>
        <v>#REF!</v>
      </c>
      <c r="CV15" s="34" t="e">
        <f>AND(#REF!,"AAAAACfqwGM=")</f>
        <v>#REF!</v>
      </c>
      <c r="CW15" s="34" t="e">
        <f>AND(#REF!,"AAAAACfqwGQ=")</f>
        <v>#REF!</v>
      </c>
      <c r="CX15" s="34" t="e">
        <f>AND(#REF!,"AAAAACfqwGU=")</f>
        <v>#REF!</v>
      </c>
      <c r="CY15" s="34" t="e">
        <f>AND(#REF!,"AAAAACfqwGY=")</f>
        <v>#REF!</v>
      </c>
      <c r="CZ15" s="34" t="e">
        <f>AND(#REF!,"AAAAACfqwGc=")</f>
        <v>#REF!</v>
      </c>
      <c r="DA15" s="34" t="e">
        <f>AND(#REF!,"AAAAACfqwGg=")</f>
        <v>#REF!</v>
      </c>
      <c r="DB15" s="34" t="e">
        <f>AND(#REF!,"AAAAACfqwGk=")</f>
        <v>#REF!</v>
      </c>
      <c r="DC15" s="34" t="e">
        <f>AND(#REF!,"AAAAACfqwGo=")</f>
        <v>#REF!</v>
      </c>
      <c r="DD15" s="34" t="e">
        <f>AND(#REF!,"AAAAACfqwGs=")</f>
        <v>#REF!</v>
      </c>
      <c r="DE15" s="34" t="e">
        <f>AND(#REF!,"AAAAACfqwGw=")</f>
        <v>#REF!</v>
      </c>
      <c r="DF15" s="34" t="e">
        <f>AND(#REF!,"AAAAACfqwG0=")</f>
        <v>#REF!</v>
      </c>
      <c r="DG15" s="34" t="e">
        <f>AND(#REF!,"AAAAACfqwG4=")</f>
        <v>#REF!</v>
      </c>
      <c r="DH15" s="34" t="e">
        <f>AND(#REF!,"AAAAACfqwG8=")</f>
        <v>#REF!</v>
      </c>
      <c r="DI15" s="34" t="e">
        <f>AND(#REF!,"AAAAACfqwHA=")</f>
        <v>#REF!</v>
      </c>
      <c r="DJ15" s="34" t="e">
        <f>AND(#REF!,"AAAAACfqwHE=")</f>
        <v>#REF!</v>
      </c>
      <c r="DK15" s="34" t="e">
        <f>AND(#REF!,"AAAAACfqwHI=")</f>
        <v>#REF!</v>
      </c>
      <c r="DL15" s="34" t="e">
        <f>AND(#REF!,"AAAAACfqwHM=")</f>
        <v>#REF!</v>
      </c>
      <c r="DM15" s="34" t="e">
        <f>AND(#REF!,"AAAAACfqwHQ=")</f>
        <v>#REF!</v>
      </c>
      <c r="DN15" s="34" t="e">
        <f>AND(#REF!,"AAAAACfqwHU=")</f>
        <v>#REF!</v>
      </c>
      <c r="DO15" s="34" t="e">
        <f>AND(#REF!,"AAAAACfqwHY=")</f>
        <v>#REF!</v>
      </c>
      <c r="DP15" s="34" t="e">
        <f>AND(#REF!,"AAAAACfqwHc=")</f>
        <v>#REF!</v>
      </c>
      <c r="DQ15" s="34" t="e">
        <f>AND(#REF!,"AAAAACfqwHg=")</f>
        <v>#REF!</v>
      </c>
      <c r="DR15" s="34" t="e">
        <f>AND(#REF!,"AAAAACfqwHk=")</f>
        <v>#REF!</v>
      </c>
      <c r="DS15" s="34" t="e">
        <f>AND(#REF!,"AAAAACfqwHo=")</f>
        <v>#REF!</v>
      </c>
      <c r="DT15" s="34" t="e">
        <f>AND(#REF!,"AAAAACfqwHs=")</f>
        <v>#REF!</v>
      </c>
      <c r="DU15" s="34" t="e">
        <f>AND(#REF!,"AAAAACfqwHw=")</f>
        <v>#REF!</v>
      </c>
      <c r="DV15" s="34" t="e">
        <f>AND(#REF!,"AAAAACfqwH0=")</f>
        <v>#REF!</v>
      </c>
      <c r="DW15" s="34" t="e">
        <f>AND(#REF!,"AAAAACfqwH4=")</f>
        <v>#REF!</v>
      </c>
      <c r="DX15" s="34" t="e">
        <f>AND(#REF!,"AAAAACfqwH8=")</f>
        <v>#REF!</v>
      </c>
      <c r="DY15" s="34" t="e">
        <f>AND(#REF!,"AAAAACfqwIA=")</f>
        <v>#REF!</v>
      </c>
      <c r="DZ15" s="34" t="e">
        <f>AND(#REF!,"AAAAACfqwIE=")</f>
        <v>#REF!</v>
      </c>
      <c r="EA15" s="34" t="e">
        <f>AND(#REF!,"AAAAACfqwII=")</f>
        <v>#REF!</v>
      </c>
      <c r="EB15" s="34" t="e">
        <f>AND(#REF!,"AAAAACfqwIM=")</f>
        <v>#REF!</v>
      </c>
      <c r="EC15" s="34" t="e">
        <f>AND(#REF!,"AAAAACfqwIQ=")</f>
        <v>#REF!</v>
      </c>
      <c r="ED15" s="34" t="e">
        <f>AND(#REF!,"AAAAACfqwIU=")</f>
        <v>#REF!</v>
      </c>
      <c r="EE15" s="34" t="e">
        <f>AND(#REF!,"AAAAACfqwIY=")</f>
        <v>#REF!</v>
      </c>
      <c r="EF15" s="34" t="e">
        <f>AND(#REF!,"AAAAACfqwIc=")</f>
        <v>#REF!</v>
      </c>
      <c r="EG15" s="34" t="e">
        <f>AND(#REF!,"AAAAACfqwIg=")</f>
        <v>#REF!</v>
      </c>
      <c r="EH15" s="34" t="e">
        <f>AND(#REF!,"AAAAACfqwIk=")</f>
        <v>#REF!</v>
      </c>
      <c r="EI15" s="34" t="e">
        <f>AND(#REF!,"AAAAACfqwIo=")</f>
        <v>#REF!</v>
      </c>
      <c r="EJ15" s="34" t="e">
        <f>AND(#REF!,"AAAAACfqwIs=")</f>
        <v>#REF!</v>
      </c>
      <c r="EK15" s="34" t="e">
        <f>AND(#REF!,"AAAAACfqwIw=")</f>
        <v>#REF!</v>
      </c>
      <c r="EL15" s="34" t="e">
        <f>AND(#REF!,"AAAAACfqwI0=")</f>
        <v>#REF!</v>
      </c>
      <c r="EM15" s="34" t="e">
        <f>AND(#REF!,"AAAAACfqwI4=")</f>
        <v>#REF!</v>
      </c>
      <c r="EN15" s="34" t="e">
        <f>AND(#REF!,"AAAAACfqwI8=")</f>
        <v>#REF!</v>
      </c>
      <c r="EO15" s="34" t="e">
        <f>AND(#REF!,"AAAAACfqwJA=")</f>
        <v>#REF!</v>
      </c>
      <c r="EP15" s="34" t="e">
        <f>AND(#REF!,"AAAAACfqwJE=")</f>
        <v>#REF!</v>
      </c>
      <c r="EQ15" s="34" t="e">
        <f>AND(#REF!,"AAAAACfqwJI=")</f>
        <v>#REF!</v>
      </c>
      <c r="ER15" s="34" t="e">
        <f>AND(#REF!,"AAAAACfqwJM=")</f>
        <v>#REF!</v>
      </c>
      <c r="ES15" s="34" t="e">
        <f>AND(#REF!,"AAAAACfqwJQ=")</f>
        <v>#REF!</v>
      </c>
      <c r="ET15" s="34" t="e">
        <f>AND(#REF!,"AAAAACfqwJU=")</f>
        <v>#REF!</v>
      </c>
      <c r="EU15" s="34" t="e">
        <f>AND(#REF!,"AAAAACfqwJY=")</f>
        <v>#REF!</v>
      </c>
      <c r="EV15" s="34" t="e">
        <f>AND(#REF!,"AAAAACfqwJc=")</f>
        <v>#REF!</v>
      </c>
      <c r="EW15" s="34" t="e">
        <f>AND(#REF!,"AAAAACfqwJg=")</f>
        <v>#REF!</v>
      </c>
      <c r="EX15" s="34" t="e">
        <f>AND(#REF!,"AAAAACfqwJk=")</f>
        <v>#REF!</v>
      </c>
      <c r="EY15" s="34" t="e">
        <f>AND(#REF!,"AAAAACfqwJo=")</f>
        <v>#REF!</v>
      </c>
      <c r="EZ15" s="34" t="e">
        <f>AND(#REF!,"AAAAACfqwJs=")</f>
        <v>#REF!</v>
      </c>
      <c r="FA15" s="34" t="e">
        <f>AND(#REF!,"AAAAACfqwJw=")</f>
        <v>#REF!</v>
      </c>
      <c r="FB15" s="34" t="e">
        <f>AND(#REF!,"AAAAACfqwJ0=")</f>
        <v>#REF!</v>
      </c>
      <c r="FC15" s="34" t="e">
        <f>AND(#REF!,"AAAAACfqwJ4=")</f>
        <v>#REF!</v>
      </c>
      <c r="FD15" s="34" t="e">
        <f>AND(#REF!,"AAAAACfqwJ8=")</f>
        <v>#REF!</v>
      </c>
      <c r="FE15" s="34" t="e">
        <f>AND(#REF!,"AAAAACfqwKA=")</f>
        <v>#REF!</v>
      </c>
      <c r="FF15" s="34" t="e">
        <f>AND(#REF!,"AAAAACfqwKE=")</f>
        <v>#REF!</v>
      </c>
      <c r="FG15" s="34" t="e">
        <f>AND(#REF!,"AAAAACfqwKI=")</f>
        <v>#REF!</v>
      </c>
      <c r="FH15" s="34" t="e">
        <f>AND(#REF!,"AAAAACfqwKM=")</f>
        <v>#REF!</v>
      </c>
      <c r="FI15" s="34" t="e">
        <f>IF(#REF!,"AAAAACfqwKQ=",0)</f>
        <v>#REF!</v>
      </c>
      <c r="FJ15" s="34" t="e">
        <f>AND(#REF!,"AAAAACfqwKU=")</f>
        <v>#REF!</v>
      </c>
      <c r="FK15" s="34" t="e">
        <f>AND(#REF!,"AAAAACfqwKY=")</f>
        <v>#REF!</v>
      </c>
      <c r="FL15" s="34" t="e">
        <f>AND(#REF!,"AAAAACfqwKc=")</f>
        <v>#REF!</v>
      </c>
      <c r="FM15" s="34" t="e">
        <f>AND(#REF!,"AAAAACfqwKg=")</f>
        <v>#REF!</v>
      </c>
      <c r="FN15" s="34" t="e">
        <f>AND(#REF!,"AAAAACfqwKk=")</f>
        <v>#REF!</v>
      </c>
      <c r="FO15" s="34" t="e">
        <f>AND(#REF!,"AAAAACfqwKo=")</f>
        <v>#REF!</v>
      </c>
      <c r="FP15" s="34" t="e">
        <f>AND(#REF!,"AAAAACfqwKs=")</f>
        <v>#REF!</v>
      </c>
      <c r="FQ15" s="34" t="e">
        <f>AND(#REF!,"AAAAACfqwKw=")</f>
        <v>#REF!</v>
      </c>
      <c r="FR15" s="34" t="e">
        <f>AND(#REF!,"AAAAACfqwK0=")</f>
        <v>#REF!</v>
      </c>
      <c r="FS15" s="34" t="e">
        <f>AND(#REF!,"AAAAACfqwK4=")</f>
        <v>#REF!</v>
      </c>
      <c r="FT15" s="34" t="e">
        <f>AND(#REF!,"AAAAACfqwK8=")</f>
        <v>#REF!</v>
      </c>
      <c r="FU15" s="34" t="e">
        <f>AND(#REF!,"AAAAACfqwLA=")</f>
        <v>#REF!</v>
      </c>
      <c r="FV15" s="34" t="e">
        <f>AND(#REF!,"AAAAACfqwLE=")</f>
        <v>#REF!</v>
      </c>
      <c r="FW15" s="34" t="e">
        <f>AND(#REF!,"AAAAACfqwLI=")</f>
        <v>#REF!</v>
      </c>
      <c r="FX15" s="34" t="e">
        <f>AND(#REF!,"AAAAACfqwLM=")</f>
        <v>#REF!</v>
      </c>
      <c r="FY15" s="34" t="e">
        <f>AND(#REF!,"AAAAACfqwLQ=")</f>
        <v>#REF!</v>
      </c>
      <c r="FZ15" s="34" t="e">
        <f>AND(#REF!,"AAAAACfqwLU=")</f>
        <v>#REF!</v>
      </c>
      <c r="GA15" s="34" t="e">
        <f>AND(#REF!,"AAAAACfqwLY=")</f>
        <v>#REF!</v>
      </c>
      <c r="GB15" s="34" t="e">
        <f>AND(#REF!,"AAAAACfqwLc=")</f>
        <v>#REF!</v>
      </c>
      <c r="GC15" s="34" t="e">
        <f>AND(#REF!,"AAAAACfqwLg=")</f>
        <v>#REF!</v>
      </c>
      <c r="GD15" s="34" t="e">
        <f>AND(#REF!,"AAAAACfqwLk=")</f>
        <v>#REF!</v>
      </c>
      <c r="GE15" s="34" t="e">
        <f>AND(#REF!,"AAAAACfqwLo=")</f>
        <v>#REF!</v>
      </c>
      <c r="GF15" s="34" t="e">
        <f>AND(#REF!,"AAAAACfqwLs=")</f>
        <v>#REF!</v>
      </c>
      <c r="GG15" s="34" t="e">
        <f>AND(#REF!,"AAAAACfqwLw=")</f>
        <v>#REF!</v>
      </c>
      <c r="GH15" s="34" t="e">
        <f>AND(#REF!,"AAAAACfqwL0=")</f>
        <v>#REF!</v>
      </c>
      <c r="GI15" s="34" t="e">
        <f>AND(#REF!,"AAAAACfqwL4=")</f>
        <v>#REF!</v>
      </c>
      <c r="GJ15" s="34" t="e">
        <f>AND(#REF!,"AAAAACfqwL8=")</f>
        <v>#REF!</v>
      </c>
      <c r="GK15" s="34" t="e">
        <f>AND(#REF!,"AAAAACfqwMA=")</f>
        <v>#REF!</v>
      </c>
      <c r="GL15" s="34" t="e">
        <f>AND(#REF!,"AAAAACfqwME=")</f>
        <v>#REF!</v>
      </c>
      <c r="GM15" s="34" t="e">
        <f>AND(#REF!,"AAAAACfqwMI=")</f>
        <v>#REF!</v>
      </c>
      <c r="GN15" s="34" t="e">
        <f>AND(#REF!,"AAAAACfqwMM=")</f>
        <v>#REF!</v>
      </c>
      <c r="GO15" s="34" t="e">
        <f>AND(#REF!,"AAAAACfqwMQ=")</f>
        <v>#REF!</v>
      </c>
      <c r="GP15" s="34" t="e">
        <f>AND(#REF!,"AAAAACfqwMU=")</f>
        <v>#REF!</v>
      </c>
      <c r="GQ15" s="34" t="e">
        <f>AND(#REF!,"AAAAACfqwMY=")</f>
        <v>#REF!</v>
      </c>
      <c r="GR15" s="34" t="e">
        <f>AND(#REF!,"AAAAACfqwMc=")</f>
        <v>#REF!</v>
      </c>
      <c r="GS15" s="34" t="e">
        <f>AND(#REF!,"AAAAACfqwMg=")</f>
        <v>#REF!</v>
      </c>
      <c r="GT15" s="34" t="e">
        <f>AND(#REF!,"AAAAACfqwMk=")</f>
        <v>#REF!</v>
      </c>
      <c r="GU15" s="34" t="e">
        <f>AND(#REF!,"AAAAACfqwMo=")</f>
        <v>#REF!</v>
      </c>
      <c r="GV15" s="34" t="e">
        <f>AND(#REF!,"AAAAACfqwMs=")</f>
        <v>#REF!</v>
      </c>
      <c r="GW15" s="34" t="e">
        <f>AND(#REF!,"AAAAACfqwMw=")</f>
        <v>#REF!</v>
      </c>
      <c r="GX15" s="34" t="e">
        <f>AND(#REF!,"AAAAACfqwM0=")</f>
        <v>#REF!</v>
      </c>
      <c r="GY15" s="34" t="e">
        <f>AND(#REF!,"AAAAACfqwM4=")</f>
        <v>#REF!</v>
      </c>
      <c r="GZ15" s="34" t="e">
        <f>AND(#REF!,"AAAAACfqwM8=")</f>
        <v>#REF!</v>
      </c>
      <c r="HA15" s="34" t="e">
        <f>AND(#REF!,"AAAAACfqwNA=")</f>
        <v>#REF!</v>
      </c>
      <c r="HB15" s="34" t="e">
        <f>AND(#REF!,"AAAAACfqwNE=")</f>
        <v>#REF!</v>
      </c>
      <c r="HC15" s="34" t="e">
        <f>AND(#REF!,"AAAAACfqwNI=")</f>
        <v>#REF!</v>
      </c>
      <c r="HD15" s="34" t="e">
        <f>AND(#REF!,"AAAAACfqwNM=")</f>
        <v>#REF!</v>
      </c>
      <c r="HE15" s="34" t="e">
        <f>AND(#REF!,"AAAAACfqwNQ=")</f>
        <v>#REF!</v>
      </c>
      <c r="HF15" s="34" t="e">
        <f>AND(#REF!,"AAAAACfqwNU=")</f>
        <v>#REF!</v>
      </c>
      <c r="HG15" s="34" t="e">
        <f>AND(#REF!,"AAAAACfqwNY=")</f>
        <v>#REF!</v>
      </c>
      <c r="HH15" s="34" t="e">
        <f>AND(#REF!,"AAAAACfqwNc=")</f>
        <v>#REF!</v>
      </c>
      <c r="HI15" s="34" t="e">
        <f>AND(#REF!,"AAAAACfqwNg=")</f>
        <v>#REF!</v>
      </c>
      <c r="HJ15" s="34" t="e">
        <f>AND(#REF!,"AAAAACfqwNk=")</f>
        <v>#REF!</v>
      </c>
      <c r="HK15" s="34" t="e">
        <f>AND(#REF!,"AAAAACfqwNo=")</f>
        <v>#REF!</v>
      </c>
      <c r="HL15" s="34" t="e">
        <f>AND(#REF!,"AAAAACfqwNs=")</f>
        <v>#REF!</v>
      </c>
      <c r="HM15" s="34" t="e">
        <f>AND(#REF!,"AAAAACfqwNw=")</f>
        <v>#REF!</v>
      </c>
      <c r="HN15" s="34" t="e">
        <f>AND(#REF!,"AAAAACfqwN0=")</f>
        <v>#REF!</v>
      </c>
      <c r="HO15" s="34" t="e">
        <f>AND(#REF!,"AAAAACfqwN4=")</f>
        <v>#REF!</v>
      </c>
      <c r="HP15" s="34" t="e">
        <f>AND(#REF!,"AAAAACfqwN8=")</f>
        <v>#REF!</v>
      </c>
      <c r="HQ15" s="34" t="e">
        <f>AND(#REF!,"AAAAACfqwOA=")</f>
        <v>#REF!</v>
      </c>
      <c r="HR15" s="34" t="e">
        <f>AND(#REF!,"AAAAACfqwOE=")</f>
        <v>#REF!</v>
      </c>
      <c r="HS15" s="34" t="e">
        <f>AND(#REF!,"AAAAACfqwOI=")</f>
        <v>#REF!</v>
      </c>
      <c r="HT15" s="34" t="e">
        <f>AND(#REF!,"AAAAACfqwOM=")</f>
        <v>#REF!</v>
      </c>
      <c r="HU15" s="34" t="e">
        <f>AND(#REF!,"AAAAACfqwOQ=")</f>
        <v>#REF!</v>
      </c>
      <c r="HV15" s="34" t="e">
        <f>AND(#REF!,"AAAAACfqwOU=")</f>
        <v>#REF!</v>
      </c>
      <c r="HW15" s="34" t="e">
        <f>AND(#REF!,"AAAAACfqwOY=")</f>
        <v>#REF!</v>
      </c>
      <c r="HX15" s="34" t="e">
        <f>AND(#REF!,"AAAAACfqwOc=")</f>
        <v>#REF!</v>
      </c>
      <c r="HY15" s="34" t="e">
        <f>AND(#REF!,"AAAAACfqwOg=")</f>
        <v>#REF!</v>
      </c>
      <c r="HZ15" s="34" t="e">
        <f>AND(#REF!,"AAAAACfqwOk=")</f>
        <v>#REF!</v>
      </c>
      <c r="IA15" s="34" t="e">
        <f>AND(#REF!,"AAAAACfqwOo=")</f>
        <v>#REF!</v>
      </c>
      <c r="IB15" s="34" t="e">
        <f>AND(#REF!,"AAAAACfqwOs=")</f>
        <v>#REF!</v>
      </c>
      <c r="IC15" s="34" t="e">
        <f>AND(#REF!,"AAAAACfqwOw=")</f>
        <v>#REF!</v>
      </c>
      <c r="ID15" s="34" t="e">
        <f>IF(#REF!,"AAAAACfqwO0=",0)</f>
        <v>#REF!</v>
      </c>
      <c r="IE15" s="34" t="e">
        <f>AND(#REF!,"AAAAACfqwO4=")</f>
        <v>#REF!</v>
      </c>
      <c r="IF15" s="34" t="e">
        <f>AND(#REF!,"AAAAACfqwO8=")</f>
        <v>#REF!</v>
      </c>
      <c r="IG15" s="34" t="e">
        <f>AND(#REF!,"AAAAACfqwPA=")</f>
        <v>#REF!</v>
      </c>
      <c r="IH15" s="34" t="e">
        <f>AND(#REF!,"AAAAACfqwPE=")</f>
        <v>#REF!</v>
      </c>
      <c r="II15" s="34" t="e">
        <f>AND(#REF!,"AAAAACfqwPI=")</f>
        <v>#REF!</v>
      </c>
      <c r="IJ15" s="34" t="e">
        <f>AND(#REF!,"AAAAACfqwPM=")</f>
        <v>#REF!</v>
      </c>
      <c r="IK15" s="34" t="e">
        <f>AND(#REF!,"AAAAACfqwPQ=")</f>
        <v>#REF!</v>
      </c>
      <c r="IL15" s="34" t="e">
        <f>AND(#REF!,"AAAAACfqwPU=")</f>
        <v>#REF!</v>
      </c>
      <c r="IM15" s="34" t="e">
        <f>AND(#REF!,"AAAAACfqwPY=")</f>
        <v>#REF!</v>
      </c>
      <c r="IN15" s="34" t="e">
        <f>AND(#REF!,"AAAAACfqwPc=")</f>
        <v>#REF!</v>
      </c>
      <c r="IO15" s="34" t="e">
        <f>AND(#REF!,"AAAAACfqwPg=")</f>
        <v>#REF!</v>
      </c>
      <c r="IP15" s="34" t="e">
        <f>AND(#REF!,"AAAAACfqwPk=")</f>
        <v>#REF!</v>
      </c>
      <c r="IQ15" s="34" t="e">
        <f>AND(#REF!,"AAAAACfqwPo=")</f>
        <v>#REF!</v>
      </c>
      <c r="IR15" s="34" t="e">
        <f>AND(#REF!,"AAAAACfqwPs=")</f>
        <v>#REF!</v>
      </c>
      <c r="IS15" s="34" t="e">
        <f>AND(#REF!,"AAAAACfqwPw=")</f>
        <v>#REF!</v>
      </c>
      <c r="IT15" s="34" t="e">
        <f>AND(#REF!,"AAAAACfqwP0=")</f>
        <v>#REF!</v>
      </c>
      <c r="IU15" s="34" t="e">
        <f>AND(#REF!,"AAAAACfqwP4=")</f>
        <v>#REF!</v>
      </c>
      <c r="IV15" s="34" t="e">
        <f>AND(#REF!,"AAAAACfqwP8=")</f>
        <v>#REF!</v>
      </c>
    </row>
    <row r="16" spans="1:256" ht="12.75" customHeight="1" x14ac:dyDescent="0.2">
      <c r="A16" s="34" t="e">
        <f>AND(#REF!,"AAAAAHZftAA=")</f>
        <v>#REF!</v>
      </c>
      <c r="B16" s="34" t="e">
        <f>AND(#REF!,"AAAAAHZftAE=")</f>
        <v>#REF!</v>
      </c>
      <c r="C16" s="34" t="e">
        <f>AND(#REF!,"AAAAAHZftAI=")</f>
        <v>#REF!</v>
      </c>
      <c r="D16" s="34" t="e">
        <f>AND(#REF!,"AAAAAHZftAM=")</f>
        <v>#REF!</v>
      </c>
      <c r="E16" s="34" t="e">
        <f>AND(#REF!,"AAAAAHZftAQ=")</f>
        <v>#REF!</v>
      </c>
      <c r="F16" s="34" t="e">
        <f>AND(#REF!,"AAAAAHZftAU=")</f>
        <v>#REF!</v>
      </c>
      <c r="G16" s="34" t="e">
        <f>AND(#REF!,"AAAAAHZftAY=")</f>
        <v>#REF!</v>
      </c>
      <c r="H16" s="34" t="e">
        <f>AND(#REF!,"AAAAAHZftAc=")</f>
        <v>#REF!</v>
      </c>
      <c r="I16" s="34" t="e">
        <f>AND(#REF!,"AAAAAHZftAg=")</f>
        <v>#REF!</v>
      </c>
      <c r="J16" s="34" t="e">
        <f>AND(#REF!,"AAAAAHZftAk=")</f>
        <v>#REF!</v>
      </c>
      <c r="K16" s="34" t="e">
        <f>AND(#REF!,"AAAAAHZftAo=")</f>
        <v>#REF!</v>
      </c>
      <c r="L16" s="34" t="e">
        <f>AND(#REF!,"AAAAAHZftAs=")</f>
        <v>#REF!</v>
      </c>
      <c r="M16" s="34" t="e">
        <f>AND(#REF!,"AAAAAHZftAw=")</f>
        <v>#REF!</v>
      </c>
      <c r="N16" s="34" t="e">
        <f>AND(#REF!,"AAAAAHZftA0=")</f>
        <v>#REF!</v>
      </c>
      <c r="O16" s="34" t="e">
        <f>AND(#REF!,"AAAAAHZftA4=")</f>
        <v>#REF!</v>
      </c>
      <c r="P16" s="34" t="e">
        <f>AND(#REF!,"AAAAAHZftA8=")</f>
        <v>#REF!</v>
      </c>
      <c r="Q16" s="34" t="e">
        <f>AND(#REF!,"AAAAAHZftBA=")</f>
        <v>#REF!</v>
      </c>
      <c r="R16" s="34" t="e">
        <f>AND(#REF!,"AAAAAHZftBE=")</f>
        <v>#REF!</v>
      </c>
      <c r="S16" s="34" t="e">
        <f>AND(#REF!,"AAAAAHZftBI=")</f>
        <v>#REF!</v>
      </c>
      <c r="T16" s="34" t="e">
        <f>AND(#REF!,"AAAAAHZftBM=")</f>
        <v>#REF!</v>
      </c>
      <c r="U16" s="34" t="e">
        <f>AND(#REF!,"AAAAAHZftBQ=")</f>
        <v>#REF!</v>
      </c>
      <c r="V16" s="34" t="e">
        <f>AND(#REF!,"AAAAAHZftBU=")</f>
        <v>#REF!</v>
      </c>
      <c r="W16" s="34" t="e">
        <f>AND(#REF!,"AAAAAHZftBY=")</f>
        <v>#REF!</v>
      </c>
      <c r="X16" s="34" t="e">
        <f>AND(#REF!,"AAAAAHZftBc=")</f>
        <v>#REF!</v>
      </c>
      <c r="Y16" s="34" t="e">
        <f>AND(#REF!,"AAAAAHZftBg=")</f>
        <v>#REF!</v>
      </c>
      <c r="Z16" s="34" t="e">
        <f>AND(#REF!,"AAAAAHZftBk=")</f>
        <v>#REF!</v>
      </c>
      <c r="AA16" s="34" t="e">
        <f>AND(#REF!,"AAAAAHZftBo=")</f>
        <v>#REF!</v>
      </c>
      <c r="AB16" s="34" t="e">
        <f>AND(#REF!,"AAAAAHZftBs=")</f>
        <v>#REF!</v>
      </c>
      <c r="AC16" s="34" t="e">
        <f>AND(#REF!,"AAAAAHZftBw=")</f>
        <v>#REF!</v>
      </c>
      <c r="AD16" s="34" t="e">
        <f>AND(#REF!,"AAAAAHZftB0=")</f>
        <v>#REF!</v>
      </c>
      <c r="AE16" s="34" t="e">
        <f>AND(#REF!,"AAAAAHZftB4=")</f>
        <v>#REF!</v>
      </c>
      <c r="AF16" s="34" t="e">
        <f>AND(#REF!,"AAAAAHZftB8=")</f>
        <v>#REF!</v>
      </c>
      <c r="AG16" s="34" t="e">
        <f>AND(#REF!,"AAAAAHZftCA=")</f>
        <v>#REF!</v>
      </c>
      <c r="AH16" s="34" t="e">
        <f>AND(#REF!,"AAAAAHZftCE=")</f>
        <v>#REF!</v>
      </c>
      <c r="AI16" s="34" t="e">
        <f>AND(#REF!,"AAAAAHZftCI=")</f>
        <v>#REF!</v>
      </c>
      <c r="AJ16" s="34" t="e">
        <f>AND(#REF!,"AAAAAHZftCM=")</f>
        <v>#REF!</v>
      </c>
      <c r="AK16" s="34" t="e">
        <f>AND(#REF!,"AAAAAHZftCQ=")</f>
        <v>#REF!</v>
      </c>
      <c r="AL16" s="34" t="e">
        <f>AND(#REF!,"AAAAAHZftCU=")</f>
        <v>#REF!</v>
      </c>
      <c r="AM16" s="34" t="e">
        <f>AND(#REF!,"AAAAAHZftCY=")</f>
        <v>#REF!</v>
      </c>
      <c r="AN16" s="34" t="e">
        <f>AND(#REF!,"AAAAAHZftCc=")</f>
        <v>#REF!</v>
      </c>
      <c r="AO16" s="34" t="e">
        <f>AND(#REF!,"AAAAAHZftCg=")</f>
        <v>#REF!</v>
      </c>
      <c r="AP16" s="34" t="e">
        <f>AND(#REF!,"AAAAAHZftCk=")</f>
        <v>#REF!</v>
      </c>
      <c r="AQ16" s="34" t="e">
        <f>AND(#REF!,"AAAAAHZftCo=")</f>
        <v>#REF!</v>
      </c>
      <c r="AR16" s="34" t="e">
        <f>AND(#REF!,"AAAAAHZftCs=")</f>
        <v>#REF!</v>
      </c>
      <c r="AS16" s="34" t="e">
        <f>AND(#REF!,"AAAAAHZftCw=")</f>
        <v>#REF!</v>
      </c>
      <c r="AT16" s="34" t="e">
        <f>AND(#REF!,"AAAAAHZftC0=")</f>
        <v>#REF!</v>
      </c>
      <c r="AU16" s="34" t="e">
        <f>AND(#REF!,"AAAAAHZftC4=")</f>
        <v>#REF!</v>
      </c>
      <c r="AV16" s="34" t="e">
        <f>AND(#REF!,"AAAAAHZftC8=")</f>
        <v>#REF!</v>
      </c>
      <c r="AW16" s="34" t="e">
        <f>AND(#REF!,"AAAAAHZftDA=")</f>
        <v>#REF!</v>
      </c>
      <c r="AX16" s="34" t="e">
        <f>AND(#REF!,"AAAAAHZftDE=")</f>
        <v>#REF!</v>
      </c>
      <c r="AY16" s="34" t="e">
        <f>AND(#REF!,"AAAAAHZftDI=")</f>
        <v>#REF!</v>
      </c>
      <c r="AZ16" s="34" t="e">
        <f>AND(#REF!,"AAAAAHZftDM=")</f>
        <v>#REF!</v>
      </c>
      <c r="BA16" s="34" t="e">
        <f>AND(#REF!,"AAAAAHZftDQ=")</f>
        <v>#REF!</v>
      </c>
      <c r="BB16" s="34" t="e">
        <f>AND(#REF!,"AAAAAHZftDU=")</f>
        <v>#REF!</v>
      </c>
      <c r="BC16" s="34" t="e">
        <f>IF(#REF!,"AAAAAHZftDY=",0)</f>
        <v>#REF!</v>
      </c>
      <c r="BD16" s="34" t="e">
        <f>AND(#REF!,"AAAAAHZftDc=")</f>
        <v>#REF!</v>
      </c>
      <c r="BE16" s="34" t="e">
        <f>AND(#REF!,"AAAAAHZftDg=")</f>
        <v>#REF!</v>
      </c>
      <c r="BF16" s="34" t="e">
        <f>AND(#REF!,"AAAAAHZftDk=")</f>
        <v>#REF!</v>
      </c>
      <c r="BG16" s="34" t="e">
        <f>AND(#REF!,"AAAAAHZftDo=")</f>
        <v>#REF!</v>
      </c>
      <c r="BH16" s="34" t="e">
        <f>AND(#REF!,"AAAAAHZftDs=")</f>
        <v>#REF!</v>
      </c>
      <c r="BI16" s="34" t="e">
        <f>AND(#REF!,"AAAAAHZftDw=")</f>
        <v>#REF!</v>
      </c>
      <c r="BJ16" s="34" t="e">
        <f>AND(#REF!,"AAAAAHZftD0=")</f>
        <v>#REF!</v>
      </c>
      <c r="BK16" s="34" t="e">
        <f>AND(#REF!,"AAAAAHZftD4=")</f>
        <v>#REF!</v>
      </c>
      <c r="BL16" s="34" t="e">
        <f>AND(#REF!,"AAAAAHZftD8=")</f>
        <v>#REF!</v>
      </c>
      <c r="BM16" s="34" t="e">
        <f>AND(#REF!,"AAAAAHZftEA=")</f>
        <v>#REF!</v>
      </c>
      <c r="BN16" s="34" t="e">
        <f>AND(#REF!,"AAAAAHZftEE=")</f>
        <v>#REF!</v>
      </c>
      <c r="BO16" s="34" t="e">
        <f>AND(#REF!,"AAAAAHZftEI=")</f>
        <v>#REF!</v>
      </c>
      <c r="BP16" s="34" t="e">
        <f>AND(#REF!,"AAAAAHZftEM=")</f>
        <v>#REF!</v>
      </c>
      <c r="BQ16" s="34" t="e">
        <f>AND(#REF!,"AAAAAHZftEQ=")</f>
        <v>#REF!</v>
      </c>
      <c r="BR16" s="34" t="e">
        <f>AND(#REF!,"AAAAAHZftEU=")</f>
        <v>#REF!</v>
      </c>
      <c r="BS16" s="34" t="e">
        <f>AND(#REF!,"AAAAAHZftEY=")</f>
        <v>#REF!</v>
      </c>
      <c r="BT16" s="34" t="e">
        <f>AND(#REF!,"AAAAAHZftEc=")</f>
        <v>#REF!</v>
      </c>
      <c r="BU16" s="34" t="e">
        <f>AND(#REF!,"AAAAAHZftEg=")</f>
        <v>#REF!</v>
      </c>
      <c r="BV16" s="34" t="e">
        <f>AND(#REF!,"AAAAAHZftEk=")</f>
        <v>#REF!</v>
      </c>
      <c r="BW16" s="34" t="e">
        <f>AND(#REF!,"AAAAAHZftEo=")</f>
        <v>#REF!</v>
      </c>
      <c r="BX16" s="34" t="e">
        <f>AND(#REF!,"AAAAAHZftEs=")</f>
        <v>#REF!</v>
      </c>
      <c r="BY16" s="34" t="e">
        <f>AND(#REF!,"AAAAAHZftEw=")</f>
        <v>#REF!</v>
      </c>
      <c r="BZ16" s="34" t="e">
        <f>AND(#REF!,"AAAAAHZftE0=")</f>
        <v>#REF!</v>
      </c>
      <c r="CA16" s="34" t="e">
        <f>AND(#REF!,"AAAAAHZftE4=")</f>
        <v>#REF!</v>
      </c>
      <c r="CB16" s="34" t="e">
        <f>AND(#REF!,"AAAAAHZftE8=")</f>
        <v>#REF!</v>
      </c>
      <c r="CC16" s="34" t="e">
        <f>AND(#REF!,"AAAAAHZftFA=")</f>
        <v>#REF!</v>
      </c>
      <c r="CD16" s="34" t="e">
        <f>AND(#REF!,"AAAAAHZftFE=")</f>
        <v>#REF!</v>
      </c>
      <c r="CE16" s="34" t="e">
        <f>AND(#REF!,"AAAAAHZftFI=")</f>
        <v>#REF!</v>
      </c>
      <c r="CF16" s="34" t="e">
        <f>AND(#REF!,"AAAAAHZftFM=")</f>
        <v>#REF!</v>
      </c>
      <c r="CG16" s="34" t="e">
        <f>AND(#REF!,"AAAAAHZftFQ=")</f>
        <v>#REF!</v>
      </c>
      <c r="CH16" s="34" t="e">
        <f>AND(#REF!,"AAAAAHZftFU=")</f>
        <v>#REF!</v>
      </c>
      <c r="CI16" s="34" t="e">
        <f>AND(#REF!,"AAAAAHZftFY=")</f>
        <v>#REF!</v>
      </c>
      <c r="CJ16" s="34" t="e">
        <f>AND(#REF!,"AAAAAHZftFc=")</f>
        <v>#REF!</v>
      </c>
      <c r="CK16" s="34" t="e">
        <f>AND(#REF!,"AAAAAHZftFg=")</f>
        <v>#REF!</v>
      </c>
      <c r="CL16" s="34" t="e">
        <f>AND(#REF!,"AAAAAHZftFk=")</f>
        <v>#REF!</v>
      </c>
      <c r="CM16" s="34" t="e">
        <f>AND(#REF!,"AAAAAHZftFo=")</f>
        <v>#REF!</v>
      </c>
      <c r="CN16" s="34" t="e">
        <f>AND(#REF!,"AAAAAHZftFs=")</f>
        <v>#REF!</v>
      </c>
      <c r="CO16" s="34" t="e">
        <f>AND(#REF!,"AAAAAHZftFw=")</f>
        <v>#REF!</v>
      </c>
      <c r="CP16" s="34" t="e">
        <f>AND(#REF!,"AAAAAHZftF0=")</f>
        <v>#REF!</v>
      </c>
      <c r="CQ16" s="34" t="e">
        <f>AND(#REF!,"AAAAAHZftF4=")</f>
        <v>#REF!</v>
      </c>
      <c r="CR16" s="34" t="e">
        <f>AND(#REF!,"AAAAAHZftF8=")</f>
        <v>#REF!</v>
      </c>
      <c r="CS16" s="34" t="e">
        <f>AND(#REF!,"AAAAAHZftGA=")</f>
        <v>#REF!</v>
      </c>
      <c r="CT16" s="34" t="e">
        <f>AND(#REF!,"AAAAAHZftGE=")</f>
        <v>#REF!</v>
      </c>
      <c r="CU16" s="34" t="e">
        <f>AND(#REF!,"AAAAAHZftGI=")</f>
        <v>#REF!</v>
      </c>
      <c r="CV16" s="34" t="e">
        <f>AND(#REF!,"AAAAAHZftGM=")</f>
        <v>#REF!</v>
      </c>
      <c r="CW16" s="34" t="e">
        <f>AND(#REF!,"AAAAAHZftGQ=")</f>
        <v>#REF!</v>
      </c>
      <c r="CX16" s="34" t="e">
        <f>AND(#REF!,"AAAAAHZftGU=")</f>
        <v>#REF!</v>
      </c>
      <c r="CY16" s="34" t="e">
        <f>AND(#REF!,"AAAAAHZftGY=")</f>
        <v>#REF!</v>
      </c>
      <c r="CZ16" s="34" t="e">
        <f>AND(#REF!,"AAAAAHZftGc=")</f>
        <v>#REF!</v>
      </c>
      <c r="DA16" s="34" t="e">
        <f>AND(#REF!,"AAAAAHZftGg=")</f>
        <v>#REF!</v>
      </c>
      <c r="DB16" s="34" t="e">
        <f>AND(#REF!,"AAAAAHZftGk=")</f>
        <v>#REF!</v>
      </c>
      <c r="DC16" s="34" t="e">
        <f>AND(#REF!,"AAAAAHZftGo=")</f>
        <v>#REF!</v>
      </c>
      <c r="DD16" s="34" t="e">
        <f>AND(#REF!,"AAAAAHZftGs=")</f>
        <v>#REF!</v>
      </c>
      <c r="DE16" s="34" t="e">
        <f>AND(#REF!,"AAAAAHZftGw=")</f>
        <v>#REF!</v>
      </c>
      <c r="DF16" s="34" t="e">
        <f>AND(#REF!,"AAAAAHZftG0=")</f>
        <v>#REF!</v>
      </c>
      <c r="DG16" s="34" t="e">
        <f>AND(#REF!,"AAAAAHZftG4=")</f>
        <v>#REF!</v>
      </c>
      <c r="DH16" s="34" t="e">
        <f>AND(#REF!,"AAAAAHZftG8=")</f>
        <v>#REF!</v>
      </c>
      <c r="DI16" s="34" t="e">
        <f>AND(#REF!,"AAAAAHZftHA=")</f>
        <v>#REF!</v>
      </c>
      <c r="DJ16" s="34" t="e">
        <f>AND(#REF!,"AAAAAHZftHE=")</f>
        <v>#REF!</v>
      </c>
      <c r="DK16" s="34" t="e">
        <f>AND(#REF!,"AAAAAHZftHI=")</f>
        <v>#REF!</v>
      </c>
      <c r="DL16" s="34" t="e">
        <f>AND(#REF!,"AAAAAHZftHM=")</f>
        <v>#REF!</v>
      </c>
      <c r="DM16" s="34" t="e">
        <f>AND(#REF!,"AAAAAHZftHQ=")</f>
        <v>#REF!</v>
      </c>
      <c r="DN16" s="34" t="e">
        <f>AND(#REF!,"AAAAAHZftHU=")</f>
        <v>#REF!</v>
      </c>
      <c r="DO16" s="34" t="e">
        <f>AND(#REF!,"AAAAAHZftHY=")</f>
        <v>#REF!</v>
      </c>
      <c r="DP16" s="34" t="e">
        <f>AND(#REF!,"AAAAAHZftHc=")</f>
        <v>#REF!</v>
      </c>
      <c r="DQ16" s="34" t="e">
        <f>AND(#REF!,"AAAAAHZftHg=")</f>
        <v>#REF!</v>
      </c>
      <c r="DR16" s="34" t="e">
        <f>AND(#REF!,"AAAAAHZftHk=")</f>
        <v>#REF!</v>
      </c>
      <c r="DS16" s="34" t="e">
        <f>AND(#REF!,"AAAAAHZftHo=")</f>
        <v>#REF!</v>
      </c>
      <c r="DT16" s="34" t="e">
        <f>AND(#REF!,"AAAAAHZftHs=")</f>
        <v>#REF!</v>
      </c>
      <c r="DU16" s="34" t="e">
        <f>AND(#REF!,"AAAAAHZftHw=")</f>
        <v>#REF!</v>
      </c>
      <c r="DV16" s="34" t="e">
        <f>AND(#REF!,"AAAAAHZftH0=")</f>
        <v>#REF!</v>
      </c>
      <c r="DW16" s="34" t="e">
        <f>AND(#REF!,"AAAAAHZftH4=")</f>
        <v>#REF!</v>
      </c>
      <c r="DX16" s="34" t="e">
        <f>IF(#REF!,"AAAAAHZftH8=",0)</f>
        <v>#REF!</v>
      </c>
      <c r="DY16" s="34" t="e">
        <f>AND(#REF!,"AAAAAHZftIA=")</f>
        <v>#REF!</v>
      </c>
      <c r="DZ16" s="34" t="e">
        <f>AND(#REF!,"AAAAAHZftIE=")</f>
        <v>#REF!</v>
      </c>
      <c r="EA16" s="34" t="e">
        <f>AND(#REF!,"AAAAAHZftII=")</f>
        <v>#REF!</v>
      </c>
      <c r="EB16" s="34" t="e">
        <f>AND(#REF!,"AAAAAHZftIM=")</f>
        <v>#REF!</v>
      </c>
      <c r="EC16" s="34" t="e">
        <f>AND(#REF!,"AAAAAHZftIQ=")</f>
        <v>#REF!</v>
      </c>
      <c r="ED16" s="34" t="e">
        <f>AND(#REF!,"AAAAAHZftIU=")</f>
        <v>#REF!</v>
      </c>
      <c r="EE16" s="34" t="e">
        <f>AND(#REF!,"AAAAAHZftIY=")</f>
        <v>#REF!</v>
      </c>
      <c r="EF16" s="34" t="e">
        <f>AND(#REF!,"AAAAAHZftIc=")</f>
        <v>#REF!</v>
      </c>
      <c r="EG16" s="34" t="e">
        <f>AND(#REF!,"AAAAAHZftIg=")</f>
        <v>#REF!</v>
      </c>
      <c r="EH16" s="34" t="e">
        <f>AND(#REF!,"AAAAAHZftIk=")</f>
        <v>#REF!</v>
      </c>
      <c r="EI16" s="34" t="e">
        <f>AND(#REF!,"AAAAAHZftIo=")</f>
        <v>#REF!</v>
      </c>
      <c r="EJ16" s="34" t="e">
        <f>AND(#REF!,"AAAAAHZftIs=")</f>
        <v>#REF!</v>
      </c>
      <c r="EK16" s="34" t="e">
        <f>AND(#REF!,"AAAAAHZftIw=")</f>
        <v>#REF!</v>
      </c>
      <c r="EL16" s="34" t="e">
        <f>AND(#REF!,"AAAAAHZftI0=")</f>
        <v>#REF!</v>
      </c>
      <c r="EM16" s="34" t="e">
        <f>AND(#REF!,"AAAAAHZftI4=")</f>
        <v>#REF!</v>
      </c>
      <c r="EN16" s="34" t="e">
        <f>AND(#REF!,"AAAAAHZftI8=")</f>
        <v>#REF!</v>
      </c>
      <c r="EO16" s="34" t="e">
        <f>AND(#REF!,"AAAAAHZftJA=")</f>
        <v>#REF!</v>
      </c>
      <c r="EP16" s="34" t="e">
        <f>AND(#REF!,"AAAAAHZftJE=")</f>
        <v>#REF!</v>
      </c>
      <c r="EQ16" s="34" t="e">
        <f>AND(#REF!,"AAAAAHZftJI=")</f>
        <v>#REF!</v>
      </c>
      <c r="ER16" s="34" t="e">
        <f>AND(#REF!,"AAAAAHZftJM=")</f>
        <v>#REF!</v>
      </c>
      <c r="ES16" s="34" t="e">
        <f>AND(#REF!,"AAAAAHZftJQ=")</f>
        <v>#REF!</v>
      </c>
      <c r="ET16" s="34" t="e">
        <f>AND(#REF!,"AAAAAHZftJU=")</f>
        <v>#REF!</v>
      </c>
      <c r="EU16" s="34" t="e">
        <f>AND(#REF!,"AAAAAHZftJY=")</f>
        <v>#REF!</v>
      </c>
      <c r="EV16" s="34" t="e">
        <f>AND(#REF!,"AAAAAHZftJc=")</f>
        <v>#REF!</v>
      </c>
      <c r="EW16" s="34" t="e">
        <f>AND(#REF!,"AAAAAHZftJg=")</f>
        <v>#REF!</v>
      </c>
      <c r="EX16" s="34" t="e">
        <f>AND(#REF!,"AAAAAHZftJk=")</f>
        <v>#REF!</v>
      </c>
      <c r="EY16" s="34" t="e">
        <f>AND(#REF!,"AAAAAHZftJo=")</f>
        <v>#REF!</v>
      </c>
      <c r="EZ16" s="34" t="e">
        <f>AND(#REF!,"AAAAAHZftJs=")</f>
        <v>#REF!</v>
      </c>
      <c r="FA16" s="34" t="e">
        <f>AND(#REF!,"AAAAAHZftJw=")</f>
        <v>#REF!</v>
      </c>
      <c r="FB16" s="34" t="e">
        <f>AND(#REF!,"AAAAAHZftJ0=")</f>
        <v>#REF!</v>
      </c>
      <c r="FC16" s="34" t="e">
        <f>AND(#REF!,"AAAAAHZftJ4=")</f>
        <v>#REF!</v>
      </c>
      <c r="FD16" s="34" t="e">
        <f>AND(#REF!,"AAAAAHZftJ8=")</f>
        <v>#REF!</v>
      </c>
      <c r="FE16" s="34" t="e">
        <f>AND(#REF!,"AAAAAHZftKA=")</f>
        <v>#REF!</v>
      </c>
      <c r="FF16" s="34" t="e">
        <f>AND(#REF!,"AAAAAHZftKE=")</f>
        <v>#REF!</v>
      </c>
      <c r="FG16" s="34" t="e">
        <f>AND(#REF!,"AAAAAHZftKI=")</f>
        <v>#REF!</v>
      </c>
      <c r="FH16" s="34" t="e">
        <f>AND(#REF!,"AAAAAHZftKM=")</f>
        <v>#REF!</v>
      </c>
      <c r="FI16" s="34" t="e">
        <f>AND(#REF!,"AAAAAHZftKQ=")</f>
        <v>#REF!</v>
      </c>
      <c r="FJ16" s="34" t="e">
        <f>AND(#REF!,"AAAAAHZftKU=")</f>
        <v>#REF!</v>
      </c>
      <c r="FK16" s="34" t="e">
        <f>AND(#REF!,"AAAAAHZftKY=")</f>
        <v>#REF!</v>
      </c>
      <c r="FL16" s="34" t="e">
        <f>AND(#REF!,"AAAAAHZftKc=")</f>
        <v>#REF!</v>
      </c>
      <c r="FM16" s="34" t="e">
        <f>AND(#REF!,"AAAAAHZftKg=")</f>
        <v>#REF!</v>
      </c>
      <c r="FN16" s="34" t="e">
        <f>AND(#REF!,"AAAAAHZftKk=")</f>
        <v>#REF!</v>
      </c>
      <c r="FO16" s="34" t="e">
        <f>AND(#REF!,"AAAAAHZftKo=")</f>
        <v>#REF!</v>
      </c>
      <c r="FP16" s="34" t="e">
        <f>AND(#REF!,"AAAAAHZftKs=")</f>
        <v>#REF!</v>
      </c>
      <c r="FQ16" s="34" t="e">
        <f>AND(#REF!,"AAAAAHZftKw=")</f>
        <v>#REF!</v>
      </c>
      <c r="FR16" s="34" t="e">
        <f>AND(#REF!,"AAAAAHZftK0=")</f>
        <v>#REF!</v>
      </c>
      <c r="FS16" s="34" t="e">
        <f>AND(#REF!,"AAAAAHZftK4=")</f>
        <v>#REF!</v>
      </c>
      <c r="FT16" s="34" t="e">
        <f>AND(#REF!,"AAAAAHZftK8=")</f>
        <v>#REF!</v>
      </c>
      <c r="FU16" s="34" t="e">
        <f>AND(#REF!,"AAAAAHZftLA=")</f>
        <v>#REF!</v>
      </c>
      <c r="FV16" s="34" t="e">
        <f>AND(#REF!,"AAAAAHZftLE=")</f>
        <v>#REF!</v>
      </c>
      <c r="FW16" s="34" t="e">
        <f>AND(#REF!,"AAAAAHZftLI=")</f>
        <v>#REF!</v>
      </c>
      <c r="FX16" s="34" t="e">
        <f>AND(#REF!,"AAAAAHZftLM=")</f>
        <v>#REF!</v>
      </c>
      <c r="FY16" s="34" t="e">
        <f>AND(#REF!,"AAAAAHZftLQ=")</f>
        <v>#REF!</v>
      </c>
      <c r="FZ16" s="34" t="e">
        <f>AND(#REF!,"AAAAAHZftLU=")</f>
        <v>#REF!</v>
      </c>
      <c r="GA16" s="34" t="e">
        <f>AND(#REF!,"AAAAAHZftLY=")</f>
        <v>#REF!</v>
      </c>
      <c r="GB16" s="34" t="e">
        <f>AND(#REF!,"AAAAAHZftLc=")</f>
        <v>#REF!</v>
      </c>
      <c r="GC16" s="34" t="e">
        <f>AND(#REF!,"AAAAAHZftLg=")</f>
        <v>#REF!</v>
      </c>
      <c r="GD16" s="34" t="e">
        <f>AND(#REF!,"AAAAAHZftLk=")</f>
        <v>#REF!</v>
      </c>
      <c r="GE16" s="34" t="e">
        <f>AND(#REF!,"AAAAAHZftLo=")</f>
        <v>#REF!</v>
      </c>
      <c r="GF16" s="34" t="e">
        <f>AND(#REF!,"AAAAAHZftLs=")</f>
        <v>#REF!</v>
      </c>
      <c r="GG16" s="34" t="e">
        <f>AND(#REF!,"AAAAAHZftLw=")</f>
        <v>#REF!</v>
      </c>
      <c r="GH16" s="34" t="e">
        <f>AND(#REF!,"AAAAAHZftL0=")</f>
        <v>#REF!</v>
      </c>
      <c r="GI16" s="34" t="e">
        <f>AND(#REF!,"AAAAAHZftL4=")</f>
        <v>#REF!</v>
      </c>
      <c r="GJ16" s="34" t="e">
        <f>AND(#REF!,"AAAAAHZftL8=")</f>
        <v>#REF!</v>
      </c>
      <c r="GK16" s="34" t="e">
        <f>AND(#REF!,"AAAAAHZftMA=")</f>
        <v>#REF!</v>
      </c>
      <c r="GL16" s="34" t="e">
        <f>AND(#REF!,"AAAAAHZftME=")</f>
        <v>#REF!</v>
      </c>
      <c r="GM16" s="34" t="e">
        <f>AND(#REF!,"AAAAAHZftMI=")</f>
        <v>#REF!</v>
      </c>
      <c r="GN16" s="34" t="e">
        <f>AND(#REF!,"AAAAAHZftMM=")</f>
        <v>#REF!</v>
      </c>
      <c r="GO16" s="34" t="e">
        <f>AND(#REF!,"AAAAAHZftMQ=")</f>
        <v>#REF!</v>
      </c>
      <c r="GP16" s="34" t="e">
        <f>AND(#REF!,"AAAAAHZftMU=")</f>
        <v>#REF!</v>
      </c>
      <c r="GQ16" s="34" t="e">
        <f>AND(#REF!,"AAAAAHZftMY=")</f>
        <v>#REF!</v>
      </c>
      <c r="GR16" s="34" t="e">
        <f>AND(#REF!,"AAAAAHZftMc=")</f>
        <v>#REF!</v>
      </c>
      <c r="GS16" s="34" t="e">
        <f>IF(#REF!,"AAAAAHZftMg=",0)</f>
        <v>#REF!</v>
      </c>
      <c r="GT16" s="34" t="e">
        <f>AND(#REF!,"AAAAAHZftMk=")</f>
        <v>#REF!</v>
      </c>
      <c r="GU16" s="34" t="e">
        <f>AND(#REF!,"AAAAAHZftMo=")</f>
        <v>#REF!</v>
      </c>
      <c r="GV16" s="34" t="e">
        <f>AND(#REF!,"AAAAAHZftMs=")</f>
        <v>#REF!</v>
      </c>
      <c r="GW16" s="34" t="e">
        <f>AND(#REF!,"AAAAAHZftMw=")</f>
        <v>#REF!</v>
      </c>
      <c r="GX16" s="34" t="e">
        <f>AND(#REF!,"AAAAAHZftM0=")</f>
        <v>#REF!</v>
      </c>
      <c r="GY16" s="34" t="e">
        <f>AND(#REF!,"AAAAAHZftM4=")</f>
        <v>#REF!</v>
      </c>
      <c r="GZ16" s="34" t="e">
        <f>AND(#REF!,"AAAAAHZftM8=")</f>
        <v>#REF!</v>
      </c>
      <c r="HA16" s="34" t="e">
        <f>AND(#REF!,"AAAAAHZftNA=")</f>
        <v>#REF!</v>
      </c>
      <c r="HB16" s="34" t="e">
        <f>AND(#REF!,"AAAAAHZftNE=")</f>
        <v>#REF!</v>
      </c>
      <c r="HC16" s="34" t="e">
        <f>AND(#REF!,"AAAAAHZftNI=")</f>
        <v>#REF!</v>
      </c>
      <c r="HD16" s="34" t="e">
        <f>AND(#REF!,"AAAAAHZftNM=")</f>
        <v>#REF!</v>
      </c>
      <c r="HE16" s="34" t="e">
        <f>AND(#REF!,"AAAAAHZftNQ=")</f>
        <v>#REF!</v>
      </c>
      <c r="HF16" s="34" t="e">
        <f>AND(#REF!,"AAAAAHZftNU=")</f>
        <v>#REF!</v>
      </c>
      <c r="HG16" s="34" t="e">
        <f>AND(#REF!,"AAAAAHZftNY=")</f>
        <v>#REF!</v>
      </c>
      <c r="HH16" s="34" t="e">
        <f>AND(#REF!,"AAAAAHZftNc=")</f>
        <v>#REF!</v>
      </c>
      <c r="HI16" s="34" t="e">
        <f>AND(#REF!,"AAAAAHZftNg=")</f>
        <v>#REF!</v>
      </c>
      <c r="HJ16" s="34" t="e">
        <f>AND(#REF!,"AAAAAHZftNk=")</f>
        <v>#REF!</v>
      </c>
      <c r="HK16" s="34" t="e">
        <f>AND(#REF!,"AAAAAHZftNo=")</f>
        <v>#REF!</v>
      </c>
      <c r="HL16" s="34" t="e">
        <f>AND(#REF!,"AAAAAHZftNs=")</f>
        <v>#REF!</v>
      </c>
      <c r="HM16" s="34" t="e">
        <f>AND(#REF!,"AAAAAHZftNw=")</f>
        <v>#REF!</v>
      </c>
      <c r="HN16" s="34" t="e">
        <f>AND(#REF!,"AAAAAHZftN0=")</f>
        <v>#REF!</v>
      </c>
      <c r="HO16" s="34" t="e">
        <f>AND(#REF!,"AAAAAHZftN4=")</f>
        <v>#REF!</v>
      </c>
      <c r="HP16" s="34" t="e">
        <f>AND(#REF!,"AAAAAHZftN8=")</f>
        <v>#REF!</v>
      </c>
      <c r="HQ16" s="34" t="e">
        <f>AND(#REF!,"AAAAAHZftOA=")</f>
        <v>#REF!</v>
      </c>
      <c r="HR16" s="34" t="e">
        <f>AND(#REF!,"AAAAAHZftOE=")</f>
        <v>#REF!</v>
      </c>
      <c r="HS16" s="34" t="e">
        <f>AND(#REF!,"AAAAAHZftOI=")</f>
        <v>#REF!</v>
      </c>
      <c r="HT16" s="34" t="e">
        <f>AND(#REF!,"AAAAAHZftOM=")</f>
        <v>#REF!</v>
      </c>
      <c r="HU16" s="34" t="e">
        <f>AND(#REF!,"AAAAAHZftOQ=")</f>
        <v>#REF!</v>
      </c>
      <c r="HV16" s="34" t="e">
        <f>AND(#REF!,"AAAAAHZftOU=")</f>
        <v>#REF!</v>
      </c>
      <c r="HW16" s="34" t="e">
        <f>AND(#REF!,"AAAAAHZftOY=")</f>
        <v>#REF!</v>
      </c>
      <c r="HX16" s="34" t="e">
        <f>AND(#REF!,"AAAAAHZftOc=")</f>
        <v>#REF!</v>
      </c>
      <c r="HY16" s="34" t="e">
        <f>AND(#REF!,"AAAAAHZftOg=")</f>
        <v>#REF!</v>
      </c>
      <c r="HZ16" s="34" t="e">
        <f>AND(#REF!,"AAAAAHZftOk=")</f>
        <v>#REF!</v>
      </c>
      <c r="IA16" s="34" t="e">
        <f>AND(#REF!,"AAAAAHZftOo=")</f>
        <v>#REF!</v>
      </c>
      <c r="IB16" s="34" t="e">
        <f>AND(#REF!,"AAAAAHZftOs=")</f>
        <v>#REF!</v>
      </c>
      <c r="IC16" s="34" t="e">
        <f>AND(#REF!,"AAAAAHZftOw=")</f>
        <v>#REF!</v>
      </c>
      <c r="ID16" s="34" t="e">
        <f>AND(#REF!,"AAAAAHZftO0=")</f>
        <v>#REF!</v>
      </c>
      <c r="IE16" s="34" t="e">
        <f>AND(#REF!,"AAAAAHZftO4=")</f>
        <v>#REF!</v>
      </c>
      <c r="IF16" s="34" t="e">
        <f>AND(#REF!,"AAAAAHZftO8=")</f>
        <v>#REF!</v>
      </c>
      <c r="IG16" s="34" t="e">
        <f>AND(#REF!,"AAAAAHZftPA=")</f>
        <v>#REF!</v>
      </c>
      <c r="IH16" s="34" t="e">
        <f>AND(#REF!,"AAAAAHZftPE=")</f>
        <v>#REF!</v>
      </c>
      <c r="II16" s="34" t="e">
        <f>AND(#REF!,"AAAAAHZftPI=")</f>
        <v>#REF!</v>
      </c>
      <c r="IJ16" s="34" t="e">
        <f>AND(#REF!,"AAAAAHZftPM=")</f>
        <v>#REF!</v>
      </c>
      <c r="IK16" s="34" t="e">
        <f>AND(#REF!,"AAAAAHZftPQ=")</f>
        <v>#REF!</v>
      </c>
      <c r="IL16" s="34" t="e">
        <f>AND(#REF!,"AAAAAHZftPU=")</f>
        <v>#REF!</v>
      </c>
      <c r="IM16" s="34" t="e">
        <f>AND(#REF!,"AAAAAHZftPY=")</f>
        <v>#REF!</v>
      </c>
      <c r="IN16" s="34" t="e">
        <f>AND(#REF!,"AAAAAHZftPc=")</f>
        <v>#REF!</v>
      </c>
      <c r="IO16" s="34" t="e">
        <f>AND(#REF!,"AAAAAHZftPg=")</f>
        <v>#REF!</v>
      </c>
      <c r="IP16" s="34" t="e">
        <f>AND(#REF!,"AAAAAHZftPk=")</f>
        <v>#REF!</v>
      </c>
      <c r="IQ16" s="34" t="e">
        <f>AND(#REF!,"AAAAAHZftPo=")</f>
        <v>#REF!</v>
      </c>
      <c r="IR16" s="34" t="e">
        <f>AND(#REF!,"AAAAAHZftPs=")</f>
        <v>#REF!</v>
      </c>
      <c r="IS16" s="34" t="e">
        <f>AND(#REF!,"AAAAAHZftPw=")</f>
        <v>#REF!</v>
      </c>
      <c r="IT16" s="34" t="e">
        <f>AND(#REF!,"AAAAAHZftP0=")</f>
        <v>#REF!</v>
      </c>
      <c r="IU16" s="34" t="e">
        <f>AND(#REF!,"AAAAAHZftP4=")</f>
        <v>#REF!</v>
      </c>
      <c r="IV16" s="34" t="e">
        <f>AND(#REF!,"AAAAAHZftP8=")</f>
        <v>#REF!</v>
      </c>
    </row>
    <row r="17" spans="1:256" ht="12.75" customHeight="1" x14ac:dyDescent="0.2">
      <c r="A17" s="34" t="e">
        <f>AND(#REF!,"AAAAAH93fwA=")</f>
        <v>#REF!</v>
      </c>
      <c r="B17" s="34" t="e">
        <f>AND(#REF!,"AAAAAH93fwE=")</f>
        <v>#REF!</v>
      </c>
      <c r="C17" s="34" t="e">
        <f>AND(#REF!,"AAAAAH93fwI=")</f>
        <v>#REF!</v>
      </c>
      <c r="D17" s="34" t="e">
        <f>AND(#REF!,"AAAAAH93fwM=")</f>
        <v>#REF!</v>
      </c>
      <c r="E17" s="34" t="e">
        <f>AND(#REF!,"AAAAAH93fwQ=")</f>
        <v>#REF!</v>
      </c>
      <c r="F17" s="34" t="e">
        <f>AND(#REF!,"AAAAAH93fwU=")</f>
        <v>#REF!</v>
      </c>
      <c r="G17" s="34" t="e">
        <f>AND(#REF!,"AAAAAH93fwY=")</f>
        <v>#REF!</v>
      </c>
      <c r="H17" s="34" t="e">
        <f>AND(#REF!,"AAAAAH93fwc=")</f>
        <v>#REF!</v>
      </c>
      <c r="I17" s="34" t="e">
        <f>AND(#REF!,"AAAAAH93fwg=")</f>
        <v>#REF!</v>
      </c>
      <c r="J17" s="34" t="e">
        <f>AND(#REF!,"AAAAAH93fwk=")</f>
        <v>#REF!</v>
      </c>
      <c r="K17" s="34" t="e">
        <f>AND(#REF!,"AAAAAH93fwo=")</f>
        <v>#REF!</v>
      </c>
      <c r="L17" s="34" t="e">
        <f>AND(#REF!,"AAAAAH93fws=")</f>
        <v>#REF!</v>
      </c>
      <c r="M17" s="34" t="e">
        <f>AND(#REF!,"AAAAAH93fww=")</f>
        <v>#REF!</v>
      </c>
      <c r="N17" s="34" t="e">
        <f>AND(#REF!,"AAAAAH93fw0=")</f>
        <v>#REF!</v>
      </c>
      <c r="O17" s="34" t="e">
        <f>AND(#REF!,"AAAAAH93fw4=")</f>
        <v>#REF!</v>
      </c>
      <c r="P17" s="34" t="e">
        <f>AND(#REF!,"AAAAAH93fw8=")</f>
        <v>#REF!</v>
      </c>
      <c r="Q17" s="34" t="e">
        <f>AND(#REF!,"AAAAAH93fxA=")</f>
        <v>#REF!</v>
      </c>
      <c r="R17" s="34" t="e">
        <f>IF(#REF!,"AAAAAH93fxE=",0)</f>
        <v>#REF!</v>
      </c>
      <c r="S17" s="34" t="e">
        <f>AND(#REF!,"AAAAAH93fxI=")</f>
        <v>#REF!</v>
      </c>
      <c r="T17" s="34" t="e">
        <f>AND(#REF!,"AAAAAH93fxM=")</f>
        <v>#REF!</v>
      </c>
      <c r="U17" s="34" t="e">
        <f>AND(#REF!,"AAAAAH93fxQ=")</f>
        <v>#REF!</v>
      </c>
      <c r="V17" s="34" t="e">
        <f>AND(#REF!,"AAAAAH93fxU=")</f>
        <v>#REF!</v>
      </c>
      <c r="W17" s="34" t="e">
        <f>AND(#REF!,"AAAAAH93fxY=")</f>
        <v>#REF!</v>
      </c>
      <c r="X17" s="34" t="e">
        <f>AND(#REF!,"AAAAAH93fxc=")</f>
        <v>#REF!</v>
      </c>
      <c r="Y17" s="34" t="e">
        <f>AND(#REF!,"AAAAAH93fxg=")</f>
        <v>#REF!</v>
      </c>
      <c r="Z17" s="34" t="e">
        <f>AND(#REF!,"AAAAAH93fxk=")</f>
        <v>#REF!</v>
      </c>
      <c r="AA17" s="34" t="e">
        <f>AND(#REF!,"AAAAAH93fxo=")</f>
        <v>#REF!</v>
      </c>
      <c r="AB17" s="34" t="e">
        <f>AND(#REF!,"AAAAAH93fxs=")</f>
        <v>#REF!</v>
      </c>
      <c r="AC17" s="34" t="e">
        <f>AND(#REF!,"AAAAAH93fxw=")</f>
        <v>#REF!</v>
      </c>
      <c r="AD17" s="34" t="e">
        <f>AND(#REF!,"AAAAAH93fx0=")</f>
        <v>#REF!</v>
      </c>
      <c r="AE17" s="34" t="e">
        <f>AND(#REF!,"AAAAAH93fx4=")</f>
        <v>#REF!</v>
      </c>
      <c r="AF17" s="34" t="e">
        <f>AND(#REF!,"AAAAAH93fx8=")</f>
        <v>#REF!</v>
      </c>
      <c r="AG17" s="34" t="e">
        <f>AND(#REF!,"AAAAAH93fyA=")</f>
        <v>#REF!</v>
      </c>
      <c r="AH17" s="34" t="e">
        <f>AND(#REF!,"AAAAAH93fyE=")</f>
        <v>#REF!</v>
      </c>
      <c r="AI17" s="34" t="e">
        <f>AND(#REF!,"AAAAAH93fyI=")</f>
        <v>#REF!</v>
      </c>
      <c r="AJ17" s="34" t="e">
        <f>AND(#REF!,"AAAAAH93fyM=")</f>
        <v>#REF!</v>
      </c>
      <c r="AK17" s="34" t="e">
        <f>AND(#REF!,"AAAAAH93fyQ=")</f>
        <v>#REF!</v>
      </c>
      <c r="AL17" s="34" t="e">
        <f>AND(#REF!,"AAAAAH93fyU=")</f>
        <v>#REF!</v>
      </c>
      <c r="AM17" s="34" t="e">
        <f>AND(#REF!,"AAAAAH93fyY=")</f>
        <v>#REF!</v>
      </c>
      <c r="AN17" s="34" t="e">
        <f>AND(#REF!,"AAAAAH93fyc=")</f>
        <v>#REF!</v>
      </c>
      <c r="AO17" s="34" t="e">
        <f>AND(#REF!,"AAAAAH93fyg=")</f>
        <v>#REF!</v>
      </c>
      <c r="AP17" s="34" t="e">
        <f>AND(#REF!,"AAAAAH93fyk=")</f>
        <v>#REF!</v>
      </c>
      <c r="AQ17" s="34" t="e">
        <f>AND(#REF!,"AAAAAH93fyo=")</f>
        <v>#REF!</v>
      </c>
      <c r="AR17" s="34" t="e">
        <f>AND(#REF!,"AAAAAH93fys=")</f>
        <v>#REF!</v>
      </c>
      <c r="AS17" s="34" t="e">
        <f>AND(#REF!,"AAAAAH93fyw=")</f>
        <v>#REF!</v>
      </c>
      <c r="AT17" s="34" t="e">
        <f>AND(#REF!,"AAAAAH93fy0=")</f>
        <v>#REF!</v>
      </c>
      <c r="AU17" s="34" t="e">
        <f>AND(#REF!,"AAAAAH93fy4=")</f>
        <v>#REF!</v>
      </c>
      <c r="AV17" s="34" t="e">
        <f>AND(#REF!,"AAAAAH93fy8=")</f>
        <v>#REF!</v>
      </c>
      <c r="AW17" s="34" t="e">
        <f>AND(#REF!,"AAAAAH93fzA=")</f>
        <v>#REF!</v>
      </c>
      <c r="AX17" s="34" t="e">
        <f>AND(#REF!,"AAAAAH93fzE=")</f>
        <v>#REF!</v>
      </c>
      <c r="AY17" s="34" t="e">
        <f>AND(#REF!,"AAAAAH93fzI=")</f>
        <v>#REF!</v>
      </c>
      <c r="AZ17" s="34" t="e">
        <f>AND(#REF!,"AAAAAH93fzM=")</f>
        <v>#REF!</v>
      </c>
      <c r="BA17" s="34" t="e">
        <f>AND(#REF!,"AAAAAH93fzQ=")</f>
        <v>#REF!</v>
      </c>
      <c r="BB17" s="34" t="e">
        <f>AND(#REF!,"AAAAAH93fzU=")</f>
        <v>#REF!</v>
      </c>
      <c r="BC17" s="34" t="e">
        <f>AND(#REF!,"AAAAAH93fzY=")</f>
        <v>#REF!</v>
      </c>
      <c r="BD17" s="34" t="e">
        <f>AND(#REF!,"AAAAAH93fzc=")</f>
        <v>#REF!</v>
      </c>
      <c r="BE17" s="34" t="e">
        <f>AND(#REF!,"AAAAAH93fzg=")</f>
        <v>#REF!</v>
      </c>
      <c r="BF17" s="34" t="e">
        <f>AND(#REF!,"AAAAAH93fzk=")</f>
        <v>#REF!</v>
      </c>
      <c r="BG17" s="34" t="e">
        <f>AND(#REF!,"AAAAAH93fzo=")</f>
        <v>#REF!</v>
      </c>
      <c r="BH17" s="34" t="e">
        <f>AND(#REF!,"AAAAAH93fzs=")</f>
        <v>#REF!</v>
      </c>
      <c r="BI17" s="34" t="e">
        <f>AND(#REF!,"AAAAAH93fzw=")</f>
        <v>#REF!</v>
      </c>
      <c r="BJ17" s="34" t="e">
        <f>AND(#REF!,"AAAAAH93fz0=")</f>
        <v>#REF!</v>
      </c>
      <c r="BK17" s="34" t="e">
        <f>AND(#REF!,"AAAAAH93fz4=")</f>
        <v>#REF!</v>
      </c>
      <c r="BL17" s="34" t="e">
        <f>AND(#REF!,"AAAAAH93fz8=")</f>
        <v>#REF!</v>
      </c>
      <c r="BM17" s="34" t="e">
        <f>AND(#REF!,"AAAAAH93f0A=")</f>
        <v>#REF!</v>
      </c>
      <c r="BN17" s="34" t="e">
        <f>AND(#REF!,"AAAAAH93f0E=")</f>
        <v>#REF!</v>
      </c>
      <c r="BO17" s="34" t="e">
        <f>AND(#REF!,"AAAAAH93f0I=")</f>
        <v>#REF!</v>
      </c>
      <c r="BP17" s="34" t="e">
        <f>AND(#REF!,"AAAAAH93f0M=")</f>
        <v>#REF!</v>
      </c>
      <c r="BQ17" s="34" t="e">
        <f>AND(#REF!,"AAAAAH93f0Q=")</f>
        <v>#REF!</v>
      </c>
      <c r="BR17" s="34" t="e">
        <f>AND(#REF!,"AAAAAH93f0U=")</f>
        <v>#REF!</v>
      </c>
      <c r="BS17" s="34" t="e">
        <f>AND(#REF!,"AAAAAH93f0Y=")</f>
        <v>#REF!</v>
      </c>
      <c r="BT17" s="34" t="e">
        <f>AND(#REF!,"AAAAAH93f0c=")</f>
        <v>#REF!</v>
      </c>
      <c r="BU17" s="34" t="e">
        <f>AND(#REF!,"AAAAAH93f0g=")</f>
        <v>#REF!</v>
      </c>
      <c r="BV17" s="34" t="e">
        <f>AND(#REF!,"AAAAAH93f0k=")</f>
        <v>#REF!</v>
      </c>
      <c r="BW17" s="34" t="e">
        <f>AND(#REF!,"AAAAAH93f0o=")</f>
        <v>#REF!</v>
      </c>
      <c r="BX17" s="34" t="e">
        <f>AND(#REF!,"AAAAAH93f0s=")</f>
        <v>#REF!</v>
      </c>
      <c r="BY17" s="34" t="e">
        <f>AND(#REF!,"AAAAAH93f0w=")</f>
        <v>#REF!</v>
      </c>
      <c r="BZ17" s="34" t="e">
        <f>AND(#REF!,"AAAAAH93f00=")</f>
        <v>#REF!</v>
      </c>
      <c r="CA17" s="34" t="e">
        <f>AND(#REF!,"AAAAAH93f04=")</f>
        <v>#REF!</v>
      </c>
      <c r="CB17" s="34" t="e">
        <f>AND(#REF!,"AAAAAH93f08=")</f>
        <v>#REF!</v>
      </c>
      <c r="CC17" s="34" t="e">
        <f>AND(#REF!,"AAAAAH93f1A=")</f>
        <v>#REF!</v>
      </c>
      <c r="CD17" s="34" t="e">
        <f>AND(#REF!,"AAAAAH93f1E=")</f>
        <v>#REF!</v>
      </c>
      <c r="CE17" s="34" t="e">
        <f>AND(#REF!,"AAAAAH93f1I=")</f>
        <v>#REF!</v>
      </c>
      <c r="CF17" s="34" t="e">
        <f>AND(#REF!,"AAAAAH93f1M=")</f>
        <v>#REF!</v>
      </c>
      <c r="CG17" s="34" t="e">
        <f>AND(#REF!,"AAAAAH93f1Q=")</f>
        <v>#REF!</v>
      </c>
      <c r="CH17" s="34" t="e">
        <f>AND(#REF!,"AAAAAH93f1U=")</f>
        <v>#REF!</v>
      </c>
      <c r="CI17" s="34" t="e">
        <f>AND(#REF!,"AAAAAH93f1Y=")</f>
        <v>#REF!</v>
      </c>
      <c r="CJ17" s="34" t="e">
        <f>AND(#REF!,"AAAAAH93f1c=")</f>
        <v>#REF!</v>
      </c>
      <c r="CK17" s="34" t="e">
        <f>AND(#REF!,"AAAAAH93f1g=")</f>
        <v>#REF!</v>
      </c>
      <c r="CL17" s="34" t="e">
        <f>AND(#REF!,"AAAAAH93f1k=")</f>
        <v>#REF!</v>
      </c>
      <c r="CM17" s="34" t="e">
        <f>IF(#REF!,"AAAAAH93f1o=",0)</f>
        <v>#REF!</v>
      </c>
      <c r="CN17" s="34" t="e">
        <f>AND(#REF!,"AAAAAH93f1s=")</f>
        <v>#REF!</v>
      </c>
      <c r="CO17" s="34" t="e">
        <f>AND(#REF!,"AAAAAH93f1w=")</f>
        <v>#REF!</v>
      </c>
      <c r="CP17" s="34" t="e">
        <f>AND(#REF!,"AAAAAH93f10=")</f>
        <v>#REF!</v>
      </c>
      <c r="CQ17" s="34" t="e">
        <f>AND(#REF!,"AAAAAH93f14=")</f>
        <v>#REF!</v>
      </c>
      <c r="CR17" s="34" t="e">
        <f>AND(#REF!,"AAAAAH93f18=")</f>
        <v>#REF!</v>
      </c>
      <c r="CS17" s="34" t="e">
        <f>AND(#REF!,"AAAAAH93f2A=")</f>
        <v>#REF!</v>
      </c>
      <c r="CT17" s="34" t="e">
        <f>AND(#REF!,"AAAAAH93f2E=")</f>
        <v>#REF!</v>
      </c>
      <c r="CU17" s="34" t="e">
        <f>AND(#REF!,"AAAAAH93f2I=")</f>
        <v>#REF!</v>
      </c>
      <c r="CV17" s="34" t="e">
        <f>AND(#REF!,"AAAAAH93f2M=")</f>
        <v>#REF!</v>
      </c>
      <c r="CW17" s="34" t="e">
        <f>AND(#REF!,"AAAAAH93f2Q=")</f>
        <v>#REF!</v>
      </c>
      <c r="CX17" s="34" t="e">
        <f>AND(#REF!,"AAAAAH93f2U=")</f>
        <v>#REF!</v>
      </c>
      <c r="CY17" s="34" t="e">
        <f>AND(#REF!,"AAAAAH93f2Y=")</f>
        <v>#REF!</v>
      </c>
      <c r="CZ17" s="34" t="e">
        <f>AND(#REF!,"AAAAAH93f2c=")</f>
        <v>#REF!</v>
      </c>
      <c r="DA17" s="34" t="e">
        <f>AND(#REF!,"AAAAAH93f2g=")</f>
        <v>#REF!</v>
      </c>
      <c r="DB17" s="34" t="e">
        <f>AND(#REF!,"AAAAAH93f2k=")</f>
        <v>#REF!</v>
      </c>
      <c r="DC17" s="34" t="e">
        <f>AND(#REF!,"AAAAAH93f2o=")</f>
        <v>#REF!</v>
      </c>
      <c r="DD17" s="34" t="e">
        <f>AND(#REF!,"AAAAAH93f2s=")</f>
        <v>#REF!</v>
      </c>
      <c r="DE17" s="34" t="e">
        <f>AND(#REF!,"AAAAAH93f2w=")</f>
        <v>#REF!</v>
      </c>
      <c r="DF17" s="34" t="e">
        <f>AND(#REF!,"AAAAAH93f20=")</f>
        <v>#REF!</v>
      </c>
      <c r="DG17" s="34" t="e">
        <f>AND(#REF!,"AAAAAH93f24=")</f>
        <v>#REF!</v>
      </c>
      <c r="DH17" s="34" t="e">
        <f>AND(#REF!,"AAAAAH93f28=")</f>
        <v>#REF!</v>
      </c>
      <c r="DI17" s="34" t="e">
        <f>AND(#REF!,"AAAAAH93f3A=")</f>
        <v>#REF!</v>
      </c>
      <c r="DJ17" s="34" t="e">
        <f>AND(#REF!,"AAAAAH93f3E=")</f>
        <v>#REF!</v>
      </c>
      <c r="DK17" s="34" t="e">
        <f>AND(#REF!,"AAAAAH93f3I=")</f>
        <v>#REF!</v>
      </c>
      <c r="DL17" s="34" t="e">
        <f>AND(#REF!,"AAAAAH93f3M=")</f>
        <v>#REF!</v>
      </c>
      <c r="DM17" s="34" t="e">
        <f>AND(#REF!,"AAAAAH93f3Q=")</f>
        <v>#REF!</v>
      </c>
      <c r="DN17" s="34" t="e">
        <f>AND(#REF!,"AAAAAH93f3U=")</f>
        <v>#REF!</v>
      </c>
      <c r="DO17" s="34" t="e">
        <f>AND(#REF!,"AAAAAH93f3Y=")</f>
        <v>#REF!</v>
      </c>
      <c r="DP17" s="34" t="e">
        <f>AND(#REF!,"AAAAAH93f3c=")</f>
        <v>#REF!</v>
      </c>
      <c r="DQ17" s="34" t="e">
        <f>AND(#REF!,"AAAAAH93f3g=")</f>
        <v>#REF!</v>
      </c>
      <c r="DR17" s="34" t="e">
        <f>AND(#REF!,"AAAAAH93f3k=")</f>
        <v>#REF!</v>
      </c>
      <c r="DS17" s="34" t="e">
        <f>AND(#REF!,"AAAAAH93f3o=")</f>
        <v>#REF!</v>
      </c>
      <c r="DT17" s="34" t="e">
        <f>AND(#REF!,"AAAAAH93f3s=")</f>
        <v>#REF!</v>
      </c>
      <c r="DU17" s="34" t="e">
        <f>AND(#REF!,"AAAAAH93f3w=")</f>
        <v>#REF!</v>
      </c>
      <c r="DV17" s="34" t="e">
        <f>AND(#REF!,"AAAAAH93f30=")</f>
        <v>#REF!</v>
      </c>
      <c r="DW17" s="34" t="e">
        <f>AND(#REF!,"AAAAAH93f34=")</f>
        <v>#REF!</v>
      </c>
      <c r="DX17" s="34" t="e">
        <f>AND(#REF!,"AAAAAH93f38=")</f>
        <v>#REF!</v>
      </c>
      <c r="DY17" s="34" t="e">
        <f>AND(#REF!,"AAAAAH93f4A=")</f>
        <v>#REF!</v>
      </c>
      <c r="DZ17" s="34" t="e">
        <f>AND(#REF!,"AAAAAH93f4E=")</f>
        <v>#REF!</v>
      </c>
      <c r="EA17" s="34" t="e">
        <f>AND(#REF!,"AAAAAH93f4I=")</f>
        <v>#REF!</v>
      </c>
      <c r="EB17" s="34" t="e">
        <f>AND(#REF!,"AAAAAH93f4M=")</f>
        <v>#REF!</v>
      </c>
      <c r="EC17" s="34" t="e">
        <f>AND(#REF!,"AAAAAH93f4Q=")</f>
        <v>#REF!</v>
      </c>
      <c r="ED17" s="34" t="e">
        <f>AND(#REF!,"AAAAAH93f4U=")</f>
        <v>#REF!</v>
      </c>
      <c r="EE17" s="34" t="e">
        <f>AND(#REF!,"AAAAAH93f4Y=")</f>
        <v>#REF!</v>
      </c>
      <c r="EF17" s="34" t="e">
        <f>AND(#REF!,"AAAAAH93f4c=")</f>
        <v>#REF!</v>
      </c>
      <c r="EG17" s="34" t="e">
        <f>AND(#REF!,"AAAAAH93f4g=")</f>
        <v>#REF!</v>
      </c>
      <c r="EH17" s="34" t="e">
        <f>AND(#REF!,"AAAAAH93f4k=")</f>
        <v>#REF!</v>
      </c>
      <c r="EI17" s="34" t="e">
        <f>AND(#REF!,"AAAAAH93f4o=")</f>
        <v>#REF!</v>
      </c>
      <c r="EJ17" s="34" t="e">
        <f>AND(#REF!,"AAAAAH93f4s=")</f>
        <v>#REF!</v>
      </c>
      <c r="EK17" s="34" t="e">
        <f>AND(#REF!,"AAAAAH93f4w=")</f>
        <v>#REF!</v>
      </c>
      <c r="EL17" s="34" t="e">
        <f>AND(#REF!,"AAAAAH93f40=")</f>
        <v>#REF!</v>
      </c>
      <c r="EM17" s="34" t="e">
        <f>AND(#REF!,"AAAAAH93f44=")</f>
        <v>#REF!</v>
      </c>
      <c r="EN17" s="34" t="e">
        <f>AND(#REF!,"AAAAAH93f48=")</f>
        <v>#REF!</v>
      </c>
      <c r="EO17" s="34" t="e">
        <f>AND(#REF!,"AAAAAH93f5A=")</f>
        <v>#REF!</v>
      </c>
      <c r="EP17" s="34" t="e">
        <f>AND(#REF!,"AAAAAH93f5E=")</f>
        <v>#REF!</v>
      </c>
      <c r="EQ17" s="34" t="e">
        <f>AND(#REF!,"AAAAAH93f5I=")</f>
        <v>#REF!</v>
      </c>
      <c r="ER17" s="34" t="e">
        <f>AND(#REF!,"AAAAAH93f5M=")</f>
        <v>#REF!</v>
      </c>
      <c r="ES17" s="34" t="e">
        <f>AND(#REF!,"AAAAAH93f5Q=")</f>
        <v>#REF!</v>
      </c>
      <c r="ET17" s="34" t="e">
        <f>AND(#REF!,"AAAAAH93f5U=")</f>
        <v>#REF!</v>
      </c>
      <c r="EU17" s="34" t="e">
        <f>AND(#REF!,"AAAAAH93f5Y=")</f>
        <v>#REF!</v>
      </c>
      <c r="EV17" s="34" t="e">
        <f>AND(#REF!,"AAAAAH93f5c=")</f>
        <v>#REF!</v>
      </c>
      <c r="EW17" s="34" t="e">
        <f>AND(#REF!,"AAAAAH93f5g=")</f>
        <v>#REF!</v>
      </c>
      <c r="EX17" s="34" t="e">
        <f>AND(#REF!,"AAAAAH93f5k=")</f>
        <v>#REF!</v>
      </c>
      <c r="EY17" s="34" t="e">
        <f>AND(#REF!,"AAAAAH93f5o=")</f>
        <v>#REF!</v>
      </c>
      <c r="EZ17" s="34" t="e">
        <f>AND(#REF!,"AAAAAH93f5s=")</f>
        <v>#REF!</v>
      </c>
      <c r="FA17" s="34" t="e">
        <f>AND(#REF!,"AAAAAH93f5w=")</f>
        <v>#REF!</v>
      </c>
      <c r="FB17" s="34" t="e">
        <f>AND(#REF!,"AAAAAH93f50=")</f>
        <v>#REF!</v>
      </c>
      <c r="FC17" s="34" t="e">
        <f>AND(#REF!,"AAAAAH93f54=")</f>
        <v>#REF!</v>
      </c>
      <c r="FD17" s="34" t="e">
        <f>AND(#REF!,"AAAAAH93f58=")</f>
        <v>#REF!</v>
      </c>
      <c r="FE17" s="34" t="e">
        <f>AND(#REF!,"AAAAAH93f6A=")</f>
        <v>#REF!</v>
      </c>
      <c r="FF17" s="34" t="e">
        <f>AND(#REF!,"AAAAAH93f6E=")</f>
        <v>#REF!</v>
      </c>
      <c r="FG17" s="34" t="e">
        <f>AND(#REF!,"AAAAAH93f6I=")</f>
        <v>#REF!</v>
      </c>
      <c r="FH17" s="34" t="e">
        <f>IF(#REF!,"AAAAAH93f6M=",0)</f>
        <v>#REF!</v>
      </c>
      <c r="FI17" s="34" t="e">
        <f>AND(#REF!,"AAAAAH93f6Q=")</f>
        <v>#REF!</v>
      </c>
      <c r="FJ17" s="34" t="e">
        <f>AND(#REF!,"AAAAAH93f6U=")</f>
        <v>#REF!</v>
      </c>
      <c r="FK17" s="34" t="e">
        <f>AND(#REF!,"AAAAAH93f6Y=")</f>
        <v>#REF!</v>
      </c>
      <c r="FL17" s="34" t="e">
        <f>AND(#REF!,"AAAAAH93f6c=")</f>
        <v>#REF!</v>
      </c>
      <c r="FM17" s="34" t="e">
        <f>AND(#REF!,"AAAAAH93f6g=")</f>
        <v>#REF!</v>
      </c>
      <c r="FN17" s="34" t="e">
        <f>AND(#REF!,"AAAAAH93f6k=")</f>
        <v>#REF!</v>
      </c>
      <c r="FO17" s="34" t="e">
        <f>AND(#REF!,"AAAAAH93f6o=")</f>
        <v>#REF!</v>
      </c>
      <c r="FP17" s="34" t="e">
        <f>AND(#REF!,"AAAAAH93f6s=")</f>
        <v>#REF!</v>
      </c>
      <c r="FQ17" s="34" t="e">
        <f>AND(#REF!,"AAAAAH93f6w=")</f>
        <v>#REF!</v>
      </c>
      <c r="FR17" s="34" t="e">
        <f>AND(#REF!,"AAAAAH93f60=")</f>
        <v>#REF!</v>
      </c>
      <c r="FS17" s="34" t="e">
        <f>AND(#REF!,"AAAAAH93f64=")</f>
        <v>#REF!</v>
      </c>
      <c r="FT17" s="34" t="e">
        <f>AND(#REF!,"AAAAAH93f68=")</f>
        <v>#REF!</v>
      </c>
      <c r="FU17" s="34" t="e">
        <f>AND(#REF!,"AAAAAH93f7A=")</f>
        <v>#REF!</v>
      </c>
      <c r="FV17" s="34" t="e">
        <f>AND(#REF!,"AAAAAH93f7E=")</f>
        <v>#REF!</v>
      </c>
      <c r="FW17" s="34" t="e">
        <f>AND(#REF!,"AAAAAH93f7I=")</f>
        <v>#REF!</v>
      </c>
      <c r="FX17" s="34" t="e">
        <f>AND(#REF!,"AAAAAH93f7M=")</f>
        <v>#REF!</v>
      </c>
      <c r="FY17" s="34" t="e">
        <f>AND(#REF!,"AAAAAH93f7Q=")</f>
        <v>#REF!</v>
      </c>
      <c r="FZ17" s="34" t="e">
        <f>AND(#REF!,"AAAAAH93f7U=")</f>
        <v>#REF!</v>
      </c>
      <c r="GA17" s="34" t="e">
        <f>AND(#REF!,"AAAAAH93f7Y=")</f>
        <v>#REF!</v>
      </c>
      <c r="GB17" s="34" t="e">
        <f>AND(#REF!,"AAAAAH93f7c=")</f>
        <v>#REF!</v>
      </c>
      <c r="GC17" s="34" t="e">
        <f>AND(#REF!,"AAAAAH93f7g=")</f>
        <v>#REF!</v>
      </c>
      <c r="GD17" s="34" t="e">
        <f>AND(#REF!,"AAAAAH93f7k=")</f>
        <v>#REF!</v>
      </c>
      <c r="GE17" s="34" t="e">
        <f>AND(#REF!,"AAAAAH93f7o=")</f>
        <v>#REF!</v>
      </c>
      <c r="GF17" s="34" t="e">
        <f>AND(#REF!,"AAAAAH93f7s=")</f>
        <v>#REF!</v>
      </c>
      <c r="GG17" s="34" t="e">
        <f>AND(#REF!,"AAAAAH93f7w=")</f>
        <v>#REF!</v>
      </c>
      <c r="GH17" s="34" t="e">
        <f>AND(#REF!,"AAAAAH93f70=")</f>
        <v>#REF!</v>
      </c>
      <c r="GI17" s="34" t="e">
        <f>AND(#REF!,"AAAAAH93f74=")</f>
        <v>#REF!</v>
      </c>
      <c r="GJ17" s="34" t="e">
        <f>AND(#REF!,"AAAAAH93f78=")</f>
        <v>#REF!</v>
      </c>
      <c r="GK17" s="34" t="e">
        <f>AND(#REF!,"AAAAAH93f8A=")</f>
        <v>#REF!</v>
      </c>
      <c r="GL17" s="34" t="e">
        <f>AND(#REF!,"AAAAAH93f8E=")</f>
        <v>#REF!</v>
      </c>
      <c r="GM17" s="34" t="e">
        <f>AND(#REF!,"AAAAAH93f8I=")</f>
        <v>#REF!</v>
      </c>
      <c r="GN17" s="34" t="e">
        <f>AND(#REF!,"AAAAAH93f8M=")</f>
        <v>#REF!</v>
      </c>
      <c r="GO17" s="34" t="e">
        <f>AND(#REF!,"AAAAAH93f8Q=")</f>
        <v>#REF!</v>
      </c>
      <c r="GP17" s="34" t="e">
        <f>AND(#REF!,"AAAAAH93f8U=")</f>
        <v>#REF!</v>
      </c>
      <c r="GQ17" s="34" t="e">
        <f>AND(#REF!,"AAAAAH93f8Y=")</f>
        <v>#REF!</v>
      </c>
      <c r="GR17" s="34" t="e">
        <f>AND(#REF!,"AAAAAH93f8c=")</f>
        <v>#REF!</v>
      </c>
      <c r="GS17" s="34" t="e">
        <f>AND(#REF!,"AAAAAH93f8g=")</f>
        <v>#REF!</v>
      </c>
      <c r="GT17" s="34" t="e">
        <f>AND(#REF!,"AAAAAH93f8k=")</f>
        <v>#REF!</v>
      </c>
      <c r="GU17" s="34" t="e">
        <f>AND(#REF!,"AAAAAH93f8o=")</f>
        <v>#REF!</v>
      </c>
      <c r="GV17" s="34" t="e">
        <f>AND(#REF!,"AAAAAH93f8s=")</f>
        <v>#REF!</v>
      </c>
      <c r="GW17" s="34" t="e">
        <f>AND(#REF!,"AAAAAH93f8w=")</f>
        <v>#REF!</v>
      </c>
      <c r="GX17" s="34" t="e">
        <f>AND(#REF!,"AAAAAH93f80=")</f>
        <v>#REF!</v>
      </c>
      <c r="GY17" s="34" t="e">
        <f>AND(#REF!,"AAAAAH93f84=")</f>
        <v>#REF!</v>
      </c>
      <c r="GZ17" s="34" t="e">
        <f>AND(#REF!,"AAAAAH93f88=")</f>
        <v>#REF!</v>
      </c>
      <c r="HA17" s="34" t="e">
        <f>AND(#REF!,"AAAAAH93f9A=")</f>
        <v>#REF!</v>
      </c>
      <c r="HB17" s="34" t="e">
        <f>AND(#REF!,"AAAAAH93f9E=")</f>
        <v>#REF!</v>
      </c>
      <c r="HC17" s="34" t="e">
        <f>AND(#REF!,"AAAAAH93f9I=")</f>
        <v>#REF!</v>
      </c>
      <c r="HD17" s="34" t="e">
        <f>AND(#REF!,"AAAAAH93f9M=")</f>
        <v>#REF!</v>
      </c>
      <c r="HE17" s="34" t="e">
        <f>AND(#REF!,"AAAAAH93f9Q=")</f>
        <v>#REF!</v>
      </c>
      <c r="HF17" s="34" t="e">
        <f>AND(#REF!,"AAAAAH93f9U=")</f>
        <v>#REF!</v>
      </c>
      <c r="HG17" s="34" t="e">
        <f>AND(#REF!,"AAAAAH93f9Y=")</f>
        <v>#REF!</v>
      </c>
      <c r="HH17" s="34" t="e">
        <f>AND(#REF!,"AAAAAH93f9c=")</f>
        <v>#REF!</v>
      </c>
      <c r="HI17" s="34" t="e">
        <f>AND(#REF!,"AAAAAH93f9g=")</f>
        <v>#REF!</v>
      </c>
      <c r="HJ17" s="34" t="e">
        <f>AND(#REF!,"AAAAAH93f9k=")</f>
        <v>#REF!</v>
      </c>
      <c r="HK17" s="34" t="e">
        <f>AND(#REF!,"AAAAAH93f9o=")</f>
        <v>#REF!</v>
      </c>
      <c r="HL17" s="34" t="e">
        <f>AND(#REF!,"AAAAAH93f9s=")</f>
        <v>#REF!</v>
      </c>
      <c r="HM17" s="34" t="e">
        <f>AND(#REF!,"AAAAAH93f9w=")</f>
        <v>#REF!</v>
      </c>
      <c r="HN17" s="34" t="e">
        <f>AND(#REF!,"AAAAAH93f90=")</f>
        <v>#REF!</v>
      </c>
      <c r="HO17" s="34" t="e">
        <f>AND(#REF!,"AAAAAH93f94=")</f>
        <v>#REF!</v>
      </c>
      <c r="HP17" s="34" t="e">
        <f>AND(#REF!,"AAAAAH93f98=")</f>
        <v>#REF!</v>
      </c>
      <c r="HQ17" s="34" t="e">
        <f>AND(#REF!,"AAAAAH93f+A=")</f>
        <v>#REF!</v>
      </c>
      <c r="HR17" s="34" t="e">
        <f>AND(#REF!,"AAAAAH93f+E=")</f>
        <v>#REF!</v>
      </c>
      <c r="HS17" s="34" t="e">
        <f>AND(#REF!,"AAAAAH93f+I=")</f>
        <v>#REF!</v>
      </c>
      <c r="HT17" s="34" t="e">
        <f>AND(#REF!,"AAAAAH93f+M=")</f>
        <v>#REF!</v>
      </c>
      <c r="HU17" s="34" t="e">
        <f>AND(#REF!,"AAAAAH93f+Q=")</f>
        <v>#REF!</v>
      </c>
      <c r="HV17" s="34" t="e">
        <f>AND(#REF!,"AAAAAH93f+U=")</f>
        <v>#REF!</v>
      </c>
      <c r="HW17" s="34" t="e">
        <f>AND(#REF!,"AAAAAH93f+Y=")</f>
        <v>#REF!</v>
      </c>
      <c r="HX17" s="34" t="e">
        <f>AND(#REF!,"AAAAAH93f+c=")</f>
        <v>#REF!</v>
      </c>
      <c r="HY17" s="34" t="e">
        <f>AND(#REF!,"AAAAAH93f+g=")</f>
        <v>#REF!</v>
      </c>
      <c r="HZ17" s="34" t="e">
        <f>AND(#REF!,"AAAAAH93f+k=")</f>
        <v>#REF!</v>
      </c>
      <c r="IA17" s="34" t="e">
        <f>AND(#REF!,"AAAAAH93f+o=")</f>
        <v>#REF!</v>
      </c>
      <c r="IB17" s="34" t="e">
        <f>AND(#REF!,"AAAAAH93f+s=")</f>
        <v>#REF!</v>
      </c>
      <c r="IC17" s="34" t="e">
        <f>IF(#REF!,"AAAAAH93f+w=",0)</f>
        <v>#REF!</v>
      </c>
      <c r="ID17" s="34" t="e">
        <f>AND(#REF!,"AAAAAH93f+0=")</f>
        <v>#REF!</v>
      </c>
      <c r="IE17" s="34" t="e">
        <f>AND(#REF!,"AAAAAH93f+4=")</f>
        <v>#REF!</v>
      </c>
      <c r="IF17" s="34" t="e">
        <f>AND(#REF!,"AAAAAH93f+8=")</f>
        <v>#REF!</v>
      </c>
      <c r="IG17" s="34" t="e">
        <f>AND(#REF!,"AAAAAH93f/A=")</f>
        <v>#REF!</v>
      </c>
      <c r="IH17" s="34" t="e">
        <f>AND(#REF!,"AAAAAH93f/E=")</f>
        <v>#REF!</v>
      </c>
      <c r="II17" s="34" t="e">
        <f>AND(#REF!,"AAAAAH93f/I=")</f>
        <v>#REF!</v>
      </c>
      <c r="IJ17" s="34" t="e">
        <f>AND(#REF!,"AAAAAH93f/M=")</f>
        <v>#REF!</v>
      </c>
      <c r="IK17" s="34" t="e">
        <f>AND(#REF!,"AAAAAH93f/Q=")</f>
        <v>#REF!</v>
      </c>
      <c r="IL17" s="34" t="e">
        <f>AND(#REF!,"AAAAAH93f/U=")</f>
        <v>#REF!</v>
      </c>
      <c r="IM17" s="34" t="e">
        <f>AND(#REF!,"AAAAAH93f/Y=")</f>
        <v>#REF!</v>
      </c>
      <c r="IN17" s="34" t="e">
        <f>AND(#REF!,"AAAAAH93f/c=")</f>
        <v>#REF!</v>
      </c>
      <c r="IO17" s="34" t="e">
        <f>AND(#REF!,"AAAAAH93f/g=")</f>
        <v>#REF!</v>
      </c>
      <c r="IP17" s="34" t="e">
        <f>AND(#REF!,"AAAAAH93f/k=")</f>
        <v>#REF!</v>
      </c>
      <c r="IQ17" s="34" t="e">
        <f>AND(#REF!,"AAAAAH93f/o=")</f>
        <v>#REF!</v>
      </c>
      <c r="IR17" s="34" t="e">
        <f>AND(#REF!,"AAAAAH93f/s=")</f>
        <v>#REF!</v>
      </c>
      <c r="IS17" s="34" t="e">
        <f>AND(#REF!,"AAAAAH93f/w=")</f>
        <v>#REF!</v>
      </c>
      <c r="IT17" s="34" t="e">
        <f>AND(#REF!,"AAAAAH93f/0=")</f>
        <v>#REF!</v>
      </c>
      <c r="IU17" s="34" t="e">
        <f>AND(#REF!,"AAAAAH93f/4=")</f>
        <v>#REF!</v>
      </c>
      <c r="IV17" s="34" t="e">
        <f>AND(#REF!,"AAAAAH93f/8=")</f>
        <v>#REF!</v>
      </c>
    </row>
    <row r="18" spans="1:256" ht="12.75" customHeight="1" x14ac:dyDescent="0.2">
      <c r="A18" s="34" t="e">
        <f>AND(#REF!,"AAAAAD/vHwA=")</f>
        <v>#REF!</v>
      </c>
      <c r="B18" s="34" t="e">
        <f>AND(#REF!,"AAAAAD/vHwE=")</f>
        <v>#REF!</v>
      </c>
      <c r="C18" s="34" t="e">
        <f>AND(#REF!,"AAAAAD/vHwI=")</f>
        <v>#REF!</v>
      </c>
      <c r="D18" s="34" t="e">
        <f>AND(#REF!,"AAAAAD/vHwM=")</f>
        <v>#REF!</v>
      </c>
      <c r="E18" s="34" t="e">
        <f>AND(#REF!,"AAAAAD/vHwQ=")</f>
        <v>#REF!</v>
      </c>
      <c r="F18" s="34" t="e">
        <f>AND(#REF!,"AAAAAD/vHwU=")</f>
        <v>#REF!</v>
      </c>
      <c r="G18" s="34" t="e">
        <f>AND(#REF!,"AAAAAD/vHwY=")</f>
        <v>#REF!</v>
      </c>
      <c r="H18" s="34" t="e">
        <f>AND(#REF!,"AAAAAD/vHwc=")</f>
        <v>#REF!</v>
      </c>
      <c r="I18" s="34" t="e">
        <f>AND(#REF!,"AAAAAD/vHwg=")</f>
        <v>#REF!</v>
      </c>
      <c r="J18" s="34" t="e">
        <f>AND(#REF!,"AAAAAD/vHwk=")</f>
        <v>#REF!</v>
      </c>
      <c r="K18" s="34" t="e">
        <f>AND(#REF!,"AAAAAD/vHwo=")</f>
        <v>#REF!</v>
      </c>
      <c r="L18" s="34" t="e">
        <f>AND(#REF!,"AAAAAD/vHws=")</f>
        <v>#REF!</v>
      </c>
      <c r="M18" s="34" t="e">
        <f>AND(#REF!,"AAAAAD/vHww=")</f>
        <v>#REF!</v>
      </c>
      <c r="N18" s="34" t="e">
        <f>AND(#REF!,"AAAAAD/vHw0=")</f>
        <v>#REF!</v>
      </c>
      <c r="O18" s="34" t="e">
        <f>AND(#REF!,"AAAAAD/vHw4=")</f>
        <v>#REF!</v>
      </c>
      <c r="P18" s="34" t="e">
        <f>AND(#REF!,"AAAAAD/vHw8=")</f>
        <v>#REF!</v>
      </c>
      <c r="Q18" s="34" t="e">
        <f>AND(#REF!,"AAAAAD/vHxA=")</f>
        <v>#REF!</v>
      </c>
      <c r="R18" s="34" t="e">
        <f>AND(#REF!,"AAAAAD/vHxE=")</f>
        <v>#REF!</v>
      </c>
      <c r="S18" s="34" t="e">
        <f>AND(#REF!,"AAAAAD/vHxI=")</f>
        <v>#REF!</v>
      </c>
      <c r="T18" s="34" t="e">
        <f>AND(#REF!,"AAAAAD/vHxM=")</f>
        <v>#REF!</v>
      </c>
      <c r="U18" s="34" t="e">
        <f>AND(#REF!,"AAAAAD/vHxQ=")</f>
        <v>#REF!</v>
      </c>
      <c r="V18" s="34" t="e">
        <f>AND(#REF!,"AAAAAD/vHxU=")</f>
        <v>#REF!</v>
      </c>
      <c r="W18" s="34" t="e">
        <f>AND(#REF!,"AAAAAD/vHxY=")</f>
        <v>#REF!</v>
      </c>
      <c r="X18" s="34" t="e">
        <f>AND(#REF!,"AAAAAD/vHxc=")</f>
        <v>#REF!</v>
      </c>
      <c r="Y18" s="34" t="e">
        <f>AND(#REF!,"AAAAAD/vHxg=")</f>
        <v>#REF!</v>
      </c>
      <c r="Z18" s="34" t="e">
        <f>AND(#REF!,"AAAAAD/vHxk=")</f>
        <v>#REF!</v>
      </c>
      <c r="AA18" s="34" t="e">
        <f>AND(#REF!,"AAAAAD/vHxo=")</f>
        <v>#REF!</v>
      </c>
      <c r="AB18" s="34" t="e">
        <f>AND(#REF!,"AAAAAD/vHxs=")</f>
        <v>#REF!</v>
      </c>
      <c r="AC18" s="34" t="e">
        <f>AND(#REF!,"AAAAAD/vHxw=")</f>
        <v>#REF!</v>
      </c>
      <c r="AD18" s="34" t="e">
        <f>AND(#REF!,"AAAAAD/vHx0=")</f>
        <v>#REF!</v>
      </c>
      <c r="AE18" s="34" t="e">
        <f>AND(#REF!,"AAAAAD/vHx4=")</f>
        <v>#REF!</v>
      </c>
      <c r="AF18" s="34" t="e">
        <f>AND(#REF!,"AAAAAD/vHx8=")</f>
        <v>#REF!</v>
      </c>
      <c r="AG18" s="34" t="e">
        <f>AND(#REF!,"AAAAAD/vHyA=")</f>
        <v>#REF!</v>
      </c>
      <c r="AH18" s="34" t="e">
        <f>AND(#REF!,"AAAAAD/vHyE=")</f>
        <v>#REF!</v>
      </c>
      <c r="AI18" s="34" t="e">
        <f>AND(#REF!,"AAAAAD/vHyI=")</f>
        <v>#REF!</v>
      </c>
      <c r="AJ18" s="34" t="e">
        <f>AND(#REF!,"AAAAAD/vHyM=")</f>
        <v>#REF!</v>
      </c>
      <c r="AK18" s="34" t="e">
        <f>AND(#REF!,"AAAAAD/vHyQ=")</f>
        <v>#REF!</v>
      </c>
      <c r="AL18" s="34" t="e">
        <f>AND(#REF!,"AAAAAD/vHyU=")</f>
        <v>#REF!</v>
      </c>
      <c r="AM18" s="34" t="e">
        <f>AND(#REF!,"AAAAAD/vHyY=")</f>
        <v>#REF!</v>
      </c>
      <c r="AN18" s="34" t="e">
        <f>AND(#REF!,"AAAAAD/vHyc=")</f>
        <v>#REF!</v>
      </c>
      <c r="AO18" s="34" t="e">
        <f>AND(#REF!,"AAAAAD/vHyg=")</f>
        <v>#REF!</v>
      </c>
      <c r="AP18" s="34" t="e">
        <f>AND(#REF!,"AAAAAD/vHyk=")</f>
        <v>#REF!</v>
      </c>
      <c r="AQ18" s="34" t="e">
        <f>AND(#REF!,"AAAAAD/vHyo=")</f>
        <v>#REF!</v>
      </c>
      <c r="AR18" s="34" t="e">
        <f>AND(#REF!,"AAAAAD/vHys=")</f>
        <v>#REF!</v>
      </c>
      <c r="AS18" s="34" t="e">
        <f>AND(#REF!,"AAAAAD/vHyw=")</f>
        <v>#REF!</v>
      </c>
      <c r="AT18" s="34" t="e">
        <f>AND(#REF!,"AAAAAD/vHy0=")</f>
        <v>#REF!</v>
      </c>
      <c r="AU18" s="34" t="e">
        <f>AND(#REF!,"AAAAAD/vHy4=")</f>
        <v>#REF!</v>
      </c>
      <c r="AV18" s="34" t="e">
        <f>AND(#REF!,"AAAAAD/vHy8=")</f>
        <v>#REF!</v>
      </c>
      <c r="AW18" s="34" t="e">
        <f>AND(#REF!,"AAAAAD/vHzA=")</f>
        <v>#REF!</v>
      </c>
      <c r="AX18" s="34" t="e">
        <f>AND(#REF!,"AAAAAD/vHzE=")</f>
        <v>#REF!</v>
      </c>
      <c r="AY18" s="34" t="e">
        <f>AND(#REF!,"AAAAAD/vHzI=")</f>
        <v>#REF!</v>
      </c>
      <c r="AZ18" s="34" t="e">
        <f>AND(#REF!,"AAAAAD/vHzM=")</f>
        <v>#REF!</v>
      </c>
      <c r="BA18" s="34" t="e">
        <f>AND(#REF!,"AAAAAD/vHzQ=")</f>
        <v>#REF!</v>
      </c>
      <c r="BB18" s="34" t="e">
        <f>IF(#REF!,"AAAAAD/vHzU=",0)</f>
        <v>#REF!</v>
      </c>
      <c r="BC18" s="34" t="e">
        <f>AND(#REF!,"AAAAAD/vHzY=")</f>
        <v>#REF!</v>
      </c>
      <c r="BD18" s="34" t="e">
        <f>AND(#REF!,"AAAAAD/vHzc=")</f>
        <v>#REF!</v>
      </c>
      <c r="BE18" s="34" t="e">
        <f>AND(#REF!,"AAAAAD/vHzg=")</f>
        <v>#REF!</v>
      </c>
      <c r="BF18" s="34" t="e">
        <f>AND(#REF!,"AAAAAD/vHzk=")</f>
        <v>#REF!</v>
      </c>
      <c r="BG18" s="34" t="e">
        <f>AND(#REF!,"AAAAAD/vHzo=")</f>
        <v>#REF!</v>
      </c>
      <c r="BH18" s="34" t="e">
        <f>AND(#REF!,"AAAAAD/vHzs=")</f>
        <v>#REF!</v>
      </c>
      <c r="BI18" s="34" t="e">
        <f>AND(#REF!,"AAAAAD/vHzw=")</f>
        <v>#REF!</v>
      </c>
      <c r="BJ18" s="34" t="e">
        <f>AND(#REF!,"AAAAAD/vHz0=")</f>
        <v>#REF!</v>
      </c>
      <c r="BK18" s="34" t="e">
        <f>AND(#REF!,"AAAAAD/vHz4=")</f>
        <v>#REF!</v>
      </c>
      <c r="BL18" s="34" t="e">
        <f>AND(#REF!,"AAAAAD/vHz8=")</f>
        <v>#REF!</v>
      </c>
      <c r="BM18" s="34" t="e">
        <f>AND(#REF!,"AAAAAD/vH0A=")</f>
        <v>#REF!</v>
      </c>
      <c r="BN18" s="34" t="e">
        <f>AND(#REF!,"AAAAAD/vH0E=")</f>
        <v>#REF!</v>
      </c>
      <c r="BO18" s="34" t="e">
        <f>AND(#REF!,"AAAAAD/vH0I=")</f>
        <v>#REF!</v>
      </c>
      <c r="BP18" s="34" t="e">
        <f>AND(#REF!,"AAAAAD/vH0M=")</f>
        <v>#REF!</v>
      </c>
      <c r="BQ18" s="34" t="e">
        <f>AND(#REF!,"AAAAAD/vH0Q=")</f>
        <v>#REF!</v>
      </c>
      <c r="BR18" s="34" t="e">
        <f>AND(#REF!,"AAAAAD/vH0U=")</f>
        <v>#REF!</v>
      </c>
      <c r="BS18" s="34" t="e">
        <f>AND(#REF!,"AAAAAD/vH0Y=")</f>
        <v>#REF!</v>
      </c>
      <c r="BT18" s="34" t="e">
        <f>AND(#REF!,"AAAAAD/vH0c=")</f>
        <v>#REF!</v>
      </c>
      <c r="BU18" s="34" t="e">
        <f>AND(#REF!,"AAAAAD/vH0g=")</f>
        <v>#REF!</v>
      </c>
      <c r="BV18" s="34" t="e">
        <f>AND(#REF!,"AAAAAD/vH0k=")</f>
        <v>#REF!</v>
      </c>
      <c r="BW18" s="34" t="e">
        <f>AND(#REF!,"AAAAAD/vH0o=")</f>
        <v>#REF!</v>
      </c>
      <c r="BX18" s="34" t="e">
        <f>AND(#REF!,"AAAAAD/vH0s=")</f>
        <v>#REF!</v>
      </c>
      <c r="BY18" s="34" t="e">
        <f>AND(#REF!,"AAAAAD/vH0w=")</f>
        <v>#REF!</v>
      </c>
      <c r="BZ18" s="34" t="e">
        <f>AND(#REF!,"AAAAAD/vH00=")</f>
        <v>#REF!</v>
      </c>
      <c r="CA18" s="34" t="e">
        <f>AND(#REF!,"AAAAAD/vH04=")</f>
        <v>#REF!</v>
      </c>
      <c r="CB18" s="34" t="e">
        <f>AND(#REF!,"AAAAAD/vH08=")</f>
        <v>#REF!</v>
      </c>
      <c r="CC18" s="34" t="e">
        <f>AND(#REF!,"AAAAAD/vH1A=")</f>
        <v>#REF!</v>
      </c>
      <c r="CD18" s="34" t="e">
        <f>AND(#REF!,"AAAAAD/vH1E=")</f>
        <v>#REF!</v>
      </c>
      <c r="CE18" s="34" t="e">
        <f>AND(#REF!,"AAAAAD/vH1I=")</f>
        <v>#REF!</v>
      </c>
      <c r="CF18" s="34" t="e">
        <f>AND(#REF!,"AAAAAD/vH1M=")</f>
        <v>#REF!</v>
      </c>
      <c r="CG18" s="34" t="e">
        <f>AND(#REF!,"AAAAAD/vH1Q=")</f>
        <v>#REF!</v>
      </c>
      <c r="CH18" s="34" t="e">
        <f>AND(#REF!,"AAAAAD/vH1U=")</f>
        <v>#REF!</v>
      </c>
      <c r="CI18" s="34" t="e">
        <f>AND(#REF!,"AAAAAD/vH1Y=")</f>
        <v>#REF!</v>
      </c>
      <c r="CJ18" s="34" t="e">
        <f>AND(#REF!,"AAAAAD/vH1c=")</f>
        <v>#REF!</v>
      </c>
      <c r="CK18" s="34" t="e">
        <f>AND(#REF!,"AAAAAD/vH1g=")</f>
        <v>#REF!</v>
      </c>
      <c r="CL18" s="34" t="e">
        <f>AND(#REF!,"AAAAAD/vH1k=")</f>
        <v>#REF!</v>
      </c>
      <c r="CM18" s="34" t="e">
        <f>AND(#REF!,"AAAAAD/vH1o=")</f>
        <v>#REF!</v>
      </c>
      <c r="CN18" s="34" t="e">
        <f>AND(#REF!,"AAAAAD/vH1s=")</f>
        <v>#REF!</v>
      </c>
      <c r="CO18" s="34" t="e">
        <f>AND(#REF!,"AAAAAD/vH1w=")</f>
        <v>#REF!</v>
      </c>
      <c r="CP18" s="34" t="e">
        <f>AND(#REF!,"AAAAAD/vH10=")</f>
        <v>#REF!</v>
      </c>
      <c r="CQ18" s="34" t="e">
        <f>AND(#REF!,"AAAAAD/vH14=")</f>
        <v>#REF!</v>
      </c>
      <c r="CR18" s="34" t="e">
        <f>AND(#REF!,"AAAAAD/vH18=")</f>
        <v>#REF!</v>
      </c>
      <c r="CS18" s="34" t="e">
        <f>AND(#REF!,"AAAAAD/vH2A=")</f>
        <v>#REF!</v>
      </c>
      <c r="CT18" s="34" t="e">
        <f>AND(#REF!,"AAAAAD/vH2E=")</f>
        <v>#REF!</v>
      </c>
      <c r="CU18" s="34" t="e">
        <f>AND(#REF!,"AAAAAD/vH2I=")</f>
        <v>#REF!</v>
      </c>
      <c r="CV18" s="34" t="e">
        <f>AND(#REF!,"AAAAAD/vH2M=")</f>
        <v>#REF!</v>
      </c>
      <c r="CW18" s="34" t="e">
        <f>AND(#REF!,"AAAAAD/vH2Q=")</f>
        <v>#REF!</v>
      </c>
      <c r="CX18" s="34" t="e">
        <f>AND(#REF!,"AAAAAD/vH2U=")</f>
        <v>#REF!</v>
      </c>
      <c r="CY18" s="34" t="e">
        <f>AND(#REF!,"AAAAAD/vH2Y=")</f>
        <v>#REF!</v>
      </c>
      <c r="CZ18" s="34" t="e">
        <f>AND(#REF!,"AAAAAD/vH2c=")</f>
        <v>#REF!</v>
      </c>
      <c r="DA18" s="34" t="e">
        <f>AND(#REF!,"AAAAAD/vH2g=")</f>
        <v>#REF!</v>
      </c>
      <c r="DB18" s="34" t="e">
        <f>AND(#REF!,"AAAAAD/vH2k=")</f>
        <v>#REF!</v>
      </c>
      <c r="DC18" s="34" t="e">
        <f>AND(#REF!,"AAAAAD/vH2o=")</f>
        <v>#REF!</v>
      </c>
      <c r="DD18" s="34" t="e">
        <f>AND(#REF!,"AAAAAD/vH2s=")</f>
        <v>#REF!</v>
      </c>
      <c r="DE18" s="34" t="e">
        <f>AND(#REF!,"AAAAAD/vH2w=")</f>
        <v>#REF!</v>
      </c>
      <c r="DF18" s="34" t="e">
        <f>AND(#REF!,"AAAAAD/vH20=")</f>
        <v>#REF!</v>
      </c>
      <c r="DG18" s="34" t="e">
        <f>AND(#REF!,"AAAAAD/vH24=")</f>
        <v>#REF!</v>
      </c>
      <c r="DH18" s="34" t="e">
        <f>AND(#REF!,"AAAAAD/vH28=")</f>
        <v>#REF!</v>
      </c>
      <c r="DI18" s="34" t="e">
        <f>AND(#REF!,"AAAAAD/vH3A=")</f>
        <v>#REF!</v>
      </c>
      <c r="DJ18" s="34" t="e">
        <f>AND(#REF!,"AAAAAD/vH3E=")</f>
        <v>#REF!</v>
      </c>
      <c r="DK18" s="34" t="e">
        <f>AND(#REF!,"AAAAAD/vH3I=")</f>
        <v>#REF!</v>
      </c>
      <c r="DL18" s="34" t="e">
        <f>AND(#REF!,"AAAAAD/vH3M=")</f>
        <v>#REF!</v>
      </c>
      <c r="DM18" s="34" t="e">
        <f>AND(#REF!,"AAAAAD/vH3Q=")</f>
        <v>#REF!</v>
      </c>
      <c r="DN18" s="34" t="e">
        <f>AND(#REF!,"AAAAAD/vH3U=")</f>
        <v>#REF!</v>
      </c>
      <c r="DO18" s="34" t="e">
        <f>AND(#REF!,"AAAAAD/vH3Y=")</f>
        <v>#REF!</v>
      </c>
      <c r="DP18" s="34" t="e">
        <f>AND(#REF!,"AAAAAD/vH3c=")</f>
        <v>#REF!</v>
      </c>
      <c r="DQ18" s="34" t="e">
        <f>AND(#REF!,"AAAAAD/vH3g=")</f>
        <v>#REF!</v>
      </c>
      <c r="DR18" s="34" t="e">
        <f>AND(#REF!,"AAAAAD/vH3k=")</f>
        <v>#REF!</v>
      </c>
      <c r="DS18" s="34" t="e">
        <f>AND(#REF!,"AAAAAD/vH3o=")</f>
        <v>#REF!</v>
      </c>
      <c r="DT18" s="34" t="e">
        <f>AND(#REF!,"AAAAAD/vH3s=")</f>
        <v>#REF!</v>
      </c>
      <c r="DU18" s="34" t="e">
        <f>AND(#REF!,"AAAAAD/vH3w=")</f>
        <v>#REF!</v>
      </c>
      <c r="DV18" s="34" t="e">
        <f>AND(#REF!,"AAAAAD/vH30=")</f>
        <v>#REF!</v>
      </c>
      <c r="DW18" s="34" t="e">
        <f>IF(#REF!,"AAAAAD/vH34=",0)</f>
        <v>#REF!</v>
      </c>
      <c r="DX18" s="34" t="e">
        <f>AND(#REF!,"AAAAAD/vH38=")</f>
        <v>#REF!</v>
      </c>
      <c r="DY18" s="34" t="e">
        <f>AND(#REF!,"AAAAAD/vH4A=")</f>
        <v>#REF!</v>
      </c>
      <c r="DZ18" s="34" t="e">
        <f>AND(#REF!,"AAAAAD/vH4E=")</f>
        <v>#REF!</v>
      </c>
      <c r="EA18" s="34" t="e">
        <f>AND(#REF!,"AAAAAD/vH4I=")</f>
        <v>#REF!</v>
      </c>
      <c r="EB18" s="34" t="e">
        <f>AND(#REF!,"AAAAAD/vH4M=")</f>
        <v>#REF!</v>
      </c>
      <c r="EC18" s="34" t="e">
        <f>AND(#REF!,"AAAAAD/vH4Q=")</f>
        <v>#REF!</v>
      </c>
      <c r="ED18" s="34" t="e">
        <f>AND(#REF!,"AAAAAD/vH4U=")</f>
        <v>#REF!</v>
      </c>
      <c r="EE18" s="34" t="e">
        <f>AND(#REF!,"AAAAAD/vH4Y=")</f>
        <v>#REF!</v>
      </c>
      <c r="EF18" s="34" t="e">
        <f>AND(#REF!,"AAAAAD/vH4c=")</f>
        <v>#REF!</v>
      </c>
      <c r="EG18" s="34" t="e">
        <f>AND(#REF!,"AAAAAD/vH4g=")</f>
        <v>#REF!</v>
      </c>
      <c r="EH18" s="34" t="e">
        <f>AND(#REF!,"AAAAAD/vH4k=")</f>
        <v>#REF!</v>
      </c>
      <c r="EI18" s="34" t="e">
        <f>AND(#REF!,"AAAAAD/vH4o=")</f>
        <v>#REF!</v>
      </c>
      <c r="EJ18" s="34" t="e">
        <f>AND(#REF!,"AAAAAD/vH4s=")</f>
        <v>#REF!</v>
      </c>
      <c r="EK18" s="34" t="e">
        <f>AND(#REF!,"AAAAAD/vH4w=")</f>
        <v>#REF!</v>
      </c>
      <c r="EL18" s="34" t="e">
        <f>AND(#REF!,"AAAAAD/vH40=")</f>
        <v>#REF!</v>
      </c>
      <c r="EM18" s="34" t="e">
        <f>AND(#REF!,"AAAAAD/vH44=")</f>
        <v>#REF!</v>
      </c>
      <c r="EN18" s="34" t="e">
        <f>AND(#REF!,"AAAAAD/vH48=")</f>
        <v>#REF!</v>
      </c>
      <c r="EO18" s="34" t="e">
        <f>AND(#REF!,"AAAAAD/vH5A=")</f>
        <v>#REF!</v>
      </c>
      <c r="EP18" s="34" t="e">
        <f>AND(#REF!,"AAAAAD/vH5E=")</f>
        <v>#REF!</v>
      </c>
      <c r="EQ18" s="34" t="e">
        <f>AND(#REF!,"AAAAAD/vH5I=")</f>
        <v>#REF!</v>
      </c>
      <c r="ER18" s="34" t="e">
        <f>AND(#REF!,"AAAAAD/vH5M=")</f>
        <v>#REF!</v>
      </c>
      <c r="ES18" s="34" t="e">
        <f>AND(#REF!,"AAAAAD/vH5Q=")</f>
        <v>#REF!</v>
      </c>
      <c r="ET18" s="34" t="e">
        <f>AND(#REF!,"AAAAAD/vH5U=")</f>
        <v>#REF!</v>
      </c>
      <c r="EU18" s="34" t="e">
        <f>AND(#REF!,"AAAAAD/vH5Y=")</f>
        <v>#REF!</v>
      </c>
      <c r="EV18" s="34" t="e">
        <f>AND(#REF!,"AAAAAD/vH5c=")</f>
        <v>#REF!</v>
      </c>
      <c r="EW18" s="34" t="e">
        <f>AND(#REF!,"AAAAAD/vH5g=")</f>
        <v>#REF!</v>
      </c>
      <c r="EX18" s="34" t="e">
        <f>AND(#REF!,"AAAAAD/vH5k=")</f>
        <v>#REF!</v>
      </c>
      <c r="EY18" s="34" t="e">
        <f>AND(#REF!,"AAAAAD/vH5o=")</f>
        <v>#REF!</v>
      </c>
      <c r="EZ18" s="34" t="e">
        <f>AND(#REF!,"AAAAAD/vH5s=")</f>
        <v>#REF!</v>
      </c>
      <c r="FA18" s="34" t="e">
        <f>AND(#REF!,"AAAAAD/vH5w=")</f>
        <v>#REF!</v>
      </c>
      <c r="FB18" s="34" t="e">
        <f>AND(#REF!,"AAAAAD/vH50=")</f>
        <v>#REF!</v>
      </c>
      <c r="FC18" s="34" t="e">
        <f>AND(#REF!,"AAAAAD/vH54=")</f>
        <v>#REF!</v>
      </c>
      <c r="FD18" s="34" t="e">
        <f>AND(#REF!,"AAAAAD/vH58=")</f>
        <v>#REF!</v>
      </c>
      <c r="FE18" s="34" t="e">
        <f>AND(#REF!,"AAAAAD/vH6A=")</f>
        <v>#REF!</v>
      </c>
      <c r="FF18" s="34" t="e">
        <f>AND(#REF!,"AAAAAD/vH6E=")</f>
        <v>#REF!</v>
      </c>
      <c r="FG18" s="34" t="e">
        <f>AND(#REF!,"AAAAAD/vH6I=")</f>
        <v>#REF!</v>
      </c>
      <c r="FH18" s="34" t="e">
        <f>AND(#REF!,"AAAAAD/vH6M=")</f>
        <v>#REF!</v>
      </c>
      <c r="FI18" s="34" t="e">
        <f>AND(#REF!,"AAAAAD/vH6Q=")</f>
        <v>#REF!</v>
      </c>
      <c r="FJ18" s="34" t="e">
        <f>AND(#REF!,"AAAAAD/vH6U=")</f>
        <v>#REF!</v>
      </c>
      <c r="FK18" s="34" t="e">
        <f>AND(#REF!,"AAAAAD/vH6Y=")</f>
        <v>#REF!</v>
      </c>
      <c r="FL18" s="34" t="e">
        <f>AND(#REF!,"AAAAAD/vH6c=")</f>
        <v>#REF!</v>
      </c>
      <c r="FM18" s="34" t="e">
        <f>AND(#REF!,"AAAAAD/vH6g=")</f>
        <v>#REF!</v>
      </c>
      <c r="FN18" s="34" t="e">
        <f>AND(#REF!,"AAAAAD/vH6k=")</f>
        <v>#REF!</v>
      </c>
      <c r="FO18" s="34" t="e">
        <f>AND(#REF!,"AAAAAD/vH6o=")</f>
        <v>#REF!</v>
      </c>
      <c r="FP18" s="34" t="e">
        <f>AND(#REF!,"AAAAAD/vH6s=")</f>
        <v>#REF!</v>
      </c>
      <c r="FQ18" s="34" t="e">
        <f>AND(#REF!,"AAAAAD/vH6w=")</f>
        <v>#REF!</v>
      </c>
      <c r="FR18" s="34" t="e">
        <f>AND(#REF!,"AAAAAD/vH60=")</f>
        <v>#REF!</v>
      </c>
      <c r="FS18" s="34" t="e">
        <f>AND(#REF!,"AAAAAD/vH64=")</f>
        <v>#REF!</v>
      </c>
      <c r="FT18" s="34" t="e">
        <f>AND(#REF!,"AAAAAD/vH68=")</f>
        <v>#REF!</v>
      </c>
      <c r="FU18" s="34" t="e">
        <f>AND(#REF!,"AAAAAD/vH7A=")</f>
        <v>#REF!</v>
      </c>
      <c r="FV18" s="34" t="e">
        <f>AND(#REF!,"AAAAAD/vH7E=")</f>
        <v>#REF!</v>
      </c>
      <c r="FW18" s="34" t="e">
        <f>AND(#REF!,"AAAAAD/vH7I=")</f>
        <v>#REF!</v>
      </c>
      <c r="FX18" s="34" t="e">
        <f>AND(#REF!,"AAAAAD/vH7M=")</f>
        <v>#REF!</v>
      </c>
      <c r="FY18" s="34" t="e">
        <f>AND(#REF!,"AAAAAD/vH7Q=")</f>
        <v>#REF!</v>
      </c>
      <c r="FZ18" s="34" t="e">
        <f>AND(#REF!,"AAAAAD/vH7U=")</f>
        <v>#REF!</v>
      </c>
      <c r="GA18" s="34" t="e">
        <f>AND(#REF!,"AAAAAD/vH7Y=")</f>
        <v>#REF!</v>
      </c>
      <c r="GB18" s="34" t="e">
        <f>AND(#REF!,"AAAAAD/vH7c=")</f>
        <v>#REF!</v>
      </c>
      <c r="GC18" s="34" t="e">
        <f>AND(#REF!,"AAAAAD/vH7g=")</f>
        <v>#REF!</v>
      </c>
      <c r="GD18" s="34" t="e">
        <f>AND(#REF!,"AAAAAD/vH7k=")</f>
        <v>#REF!</v>
      </c>
      <c r="GE18" s="34" t="e">
        <f>AND(#REF!,"AAAAAD/vH7o=")</f>
        <v>#REF!</v>
      </c>
      <c r="GF18" s="34" t="e">
        <f>AND(#REF!,"AAAAAD/vH7s=")</f>
        <v>#REF!</v>
      </c>
      <c r="GG18" s="34" t="e">
        <f>AND(#REF!,"AAAAAD/vH7w=")</f>
        <v>#REF!</v>
      </c>
      <c r="GH18" s="34" t="e">
        <f>AND(#REF!,"AAAAAD/vH70=")</f>
        <v>#REF!</v>
      </c>
      <c r="GI18" s="34" t="e">
        <f>AND(#REF!,"AAAAAD/vH74=")</f>
        <v>#REF!</v>
      </c>
      <c r="GJ18" s="34" t="e">
        <f>AND(#REF!,"AAAAAD/vH78=")</f>
        <v>#REF!</v>
      </c>
      <c r="GK18" s="34" t="e">
        <f>AND(#REF!,"AAAAAD/vH8A=")</f>
        <v>#REF!</v>
      </c>
      <c r="GL18" s="34" t="e">
        <f>AND(#REF!,"AAAAAD/vH8E=")</f>
        <v>#REF!</v>
      </c>
      <c r="GM18" s="34" t="e">
        <f>AND(#REF!,"AAAAAD/vH8I=")</f>
        <v>#REF!</v>
      </c>
      <c r="GN18" s="34" t="e">
        <f>AND(#REF!,"AAAAAD/vH8M=")</f>
        <v>#REF!</v>
      </c>
      <c r="GO18" s="34" t="e">
        <f>AND(#REF!,"AAAAAD/vH8Q=")</f>
        <v>#REF!</v>
      </c>
      <c r="GP18" s="34" t="e">
        <f>AND(#REF!,"AAAAAD/vH8U=")</f>
        <v>#REF!</v>
      </c>
      <c r="GQ18" s="34" t="e">
        <f>AND(#REF!,"AAAAAD/vH8Y=")</f>
        <v>#REF!</v>
      </c>
      <c r="GR18" s="34" t="e">
        <f>IF(#REF!,"AAAAAD/vH8c=",0)</f>
        <v>#REF!</v>
      </c>
      <c r="GS18" s="34" t="e">
        <f>AND(#REF!,"AAAAAD/vH8g=")</f>
        <v>#REF!</v>
      </c>
      <c r="GT18" s="34" t="e">
        <f>AND(#REF!,"AAAAAD/vH8k=")</f>
        <v>#REF!</v>
      </c>
      <c r="GU18" s="34" t="e">
        <f>AND(#REF!,"AAAAAD/vH8o=")</f>
        <v>#REF!</v>
      </c>
      <c r="GV18" s="34" t="e">
        <f>AND(#REF!,"AAAAAD/vH8s=")</f>
        <v>#REF!</v>
      </c>
      <c r="GW18" s="34" t="e">
        <f>AND(#REF!,"AAAAAD/vH8w=")</f>
        <v>#REF!</v>
      </c>
      <c r="GX18" s="34" t="e">
        <f>AND(#REF!,"AAAAAD/vH80=")</f>
        <v>#REF!</v>
      </c>
      <c r="GY18" s="34" t="e">
        <f>AND(#REF!,"AAAAAD/vH84=")</f>
        <v>#REF!</v>
      </c>
      <c r="GZ18" s="34" t="e">
        <f>AND(#REF!,"AAAAAD/vH88=")</f>
        <v>#REF!</v>
      </c>
      <c r="HA18" s="34" t="e">
        <f>AND(#REF!,"AAAAAD/vH9A=")</f>
        <v>#REF!</v>
      </c>
      <c r="HB18" s="34" t="e">
        <f>AND(#REF!,"AAAAAD/vH9E=")</f>
        <v>#REF!</v>
      </c>
      <c r="HC18" s="34" t="e">
        <f>AND(#REF!,"AAAAAD/vH9I=")</f>
        <v>#REF!</v>
      </c>
      <c r="HD18" s="34" t="e">
        <f>AND(#REF!,"AAAAAD/vH9M=")</f>
        <v>#REF!</v>
      </c>
      <c r="HE18" s="34" t="e">
        <f>AND(#REF!,"AAAAAD/vH9Q=")</f>
        <v>#REF!</v>
      </c>
      <c r="HF18" s="34" t="e">
        <f>AND(#REF!,"AAAAAD/vH9U=")</f>
        <v>#REF!</v>
      </c>
      <c r="HG18" s="34" t="e">
        <f>AND(#REF!,"AAAAAD/vH9Y=")</f>
        <v>#REF!</v>
      </c>
      <c r="HH18" s="34" t="e">
        <f>AND(#REF!,"AAAAAD/vH9c=")</f>
        <v>#REF!</v>
      </c>
      <c r="HI18" s="34" t="e">
        <f>AND(#REF!,"AAAAAD/vH9g=")</f>
        <v>#REF!</v>
      </c>
      <c r="HJ18" s="34" t="e">
        <f>AND(#REF!,"AAAAAD/vH9k=")</f>
        <v>#REF!</v>
      </c>
      <c r="HK18" s="34" t="e">
        <f>AND(#REF!,"AAAAAD/vH9o=")</f>
        <v>#REF!</v>
      </c>
      <c r="HL18" s="34" t="e">
        <f>AND(#REF!,"AAAAAD/vH9s=")</f>
        <v>#REF!</v>
      </c>
      <c r="HM18" s="34" t="e">
        <f>AND(#REF!,"AAAAAD/vH9w=")</f>
        <v>#REF!</v>
      </c>
      <c r="HN18" s="34" t="e">
        <f>AND(#REF!,"AAAAAD/vH90=")</f>
        <v>#REF!</v>
      </c>
      <c r="HO18" s="34" t="e">
        <f>AND(#REF!,"AAAAAD/vH94=")</f>
        <v>#REF!</v>
      </c>
      <c r="HP18" s="34" t="e">
        <f>AND(#REF!,"AAAAAD/vH98=")</f>
        <v>#REF!</v>
      </c>
      <c r="HQ18" s="34" t="e">
        <f>AND(#REF!,"AAAAAD/vH+A=")</f>
        <v>#REF!</v>
      </c>
      <c r="HR18" s="34" t="e">
        <f>AND(#REF!,"AAAAAD/vH+E=")</f>
        <v>#REF!</v>
      </c>
      <c r="HS18" s="34" t="e">
        <f>AND(#REF!,"AAAAAD/vH+I=")</f>
        <v>#REF!</v>
      </c>
      <c r="HT18" s="34" t="e">
        <f>AND(#REF!,"AAAAAD/vH+M=")</f>
        <v>#REF!</v>
      </c>
      <c r="HU18" s="34" t="e">
        <f>AND(#REF!,"AAAAAD/vH+Q=")</f>
        <v>#REF!</v>
      </c>
      <c r="HV18" s="34" t="e">
        <f>AND(#REF!,"AAAAAD/vH+U=")</f>
        <v>#REF!</v>
      </c>
      <c r="HW18" s="34" t="e">
        <f>AND(#REF!,"AAAAAD/vH+Y=")</f>
        <v>#REF!</v>
      </c>
      <c r="HX18" s="34" t="e">
        <f>AND(#REF!,"AAAAAD/vH+c=")</f>
        <v>#REF!</v>
      </c>
      <c r="HY18" s="34" t="e">
        <f>AND(#REF!,"AAAAAD/vH+g=")</f>
        <v>#REF!</v>
      </c>
      <c r="HZ18" s="34" t="e">
        <f>AND(#REF!,"AAAAAD/vH+k=")</f>
        <v>#REF!</v>
      </c>
      <c r="IA18" s="34" t="e">
        <f>AND(#REF!,"AAAAAD/vH+o=")</f>
        <v>#REF!</v>
      </c>
      <c r="IB18" s="34" t="e">
        <f>AND(#REF!,"AAAAAD/vH+s=")</f>
        <v>#REF!</v>
      </c>
      <c r="IC18" s="34" t="e">
        <f>AND(#REF!,"AAAAAD/vH+w=")</f>
        <v>#REF!</v>
      </c>
      <c r="ID18" s="34" t="e">
        <f>AND(#REF!,"AAAAAD/vH+0=")</f>
        <v>#REF!</v>
      </c>
      <c r="IE18" s="34" t="e">
        <f>AND(#REF!,"AAAAAD/vH+4=")</f>
        <v>#REF!</v>
      </c>
      <c r="IF18" s="34" t="e">
        <f>AND(#REF!,"AAAAAD/vH+8=")</f>
        <v>#REF!</v>
      </c>
      <c r="IG18" s="34" t="e">
        <f>AND(#REF!,"AAAAAD/vH/A=")</f>
        <v>#REF!</v>
      </c>
      <c r="IH18" s="34" t="e">
        <f>AND(#REF!,"AAAAAD/vH/E=")</f>
        <v>#REF!</v>
      </c>
      <c r="II18" s="34" t="e">
        <f>AND(#REF!,"AAAAAD/vH/I=")</f>
        <v>#REF!</v>
      </c>
      <c r="IJ18" s="34" t="e">
        <f>AND(#REF!,"AAAAAD/vH/M=")</f>
        <v>#REF!</v>
      </c>
      <c r="IK18" s="34" t="e">
        <f>AND(#REF!,"AAAAAD/vH/Q=")</f>
        <v>#REF!</v>
      </c>
      <c r="IL18" s="34" t="e">
        <f>AND(#REF!,"AAAAAD/vH/U=")</f>
        <v>#REF!</v>
      </c>
      <c r="IM18" s="34" t="e">
        <f>AND(#REF!,"AAAAAD/vH/Y=")</f>
        <v>#REF!</v>
      </c>
      <c r="IN18" s="34" t="e">
        <f>AND(#REF!,"AAAAAD/vH/c=")</f>
        <v>#REF!</v>
      </c>
      <c r="IO18" s="34" t="e">
        <f>AND(#REF!,"AAAAAD/vH/g=")</f>
        <v>#REF!</v>
      </c>
      <c r="IP18" s="34" t="e">
        <f>AND(#REF!,"AAAAAD/vH/k=")</f>
        <v>#REF!</v>
      </c>
      <c r="IQ18" s="34" t="e">
        <f>AND(#REF!,"AAAAAD/vH/o=")</f>
        <v>#REF!</v>
      </c>
      <c r="IR18" s="34" t="e">
        <f>AND(#REF!,"AAAAAD/vH/s=")</f>
        <v>#REF!</v>
      </c>
      <c r="IS18" s="34" t="e">
        <f>AND(#REF!,"AAAAAD/vH/w=")</f>
        <v>#REF!</v>
      </c>
      <c r="IT18" s="34" t="e">
        <f>AND(#REF!,"AAAAAD/vH/0=")</f>
        <v>#REF!</v>
      </c>
      <c r="IU18" s="34" t="e">
        <f>AND(#REF!,"AAAAAD/vH/4=")</f>
        <v>#REF!</v>
      </c>
      <c r="IV18" s="34" t="e">
        <f>AND(#REF!,"AAAAAD/vH/8=")</f>
        <v>#REF!</v>
      </c>
    </row>
    <row r="19" spans="1:256" ht="12.75" customHeight="1" x14ac:dyDescent="0.2">
      <c r="A19" s="34" t="e">
        <f>AND(#REF!,"AAAAAG9u8wA=")</f>
        <v>#REF!</v>
      </c>
      <c r="B19" s="34" t="e">
        <f>AND(#REF!,"AAAAAG9u8wE=")</f>
        <v>#REF!</v>
      </c>
      <c r="C19" s="34" t="e">
        <f>AND(#REF!,"AAAAAG9u8wI=")</f>
        <v>#REF!</v>
      </c>
      <c r="D19" s="34" t="e">
        <f>AND(#REF!,"AAAAAG9u8wM=")</f>
        <v>#REF!</v>
      </c>
      <c r="E19" s="34" t="e">
        <f>AND(#REF!,"AAAAAG9u8wQ=")</f>
        <v>#REF!</v>
      </c>
      <c r="F19" s="34" t="e">
        <f>AND(#REF!,"AAAAAG9u8wU=")</f>
        <v>#REF!</v>
      </c>
      <c r="G19" s="34" t="e">
        <f>AND(#REF!,"AAAAAG9u8wY=")</f>
        <v>#REF!</v>
      </c>
      <c r="H19" s="34" t="e">
        <f>AND(#REF!,"AAAAAG9u8wc=")</f>
        <v>#REF!</v>
      </c>
      <c r="I19" s="34" t="e">
        <f>AND(#REF!,"AAAAAG9u8wg=")</f>
        <v>#REF!</v>
      </c>
      <c r="J19" s="34" t="e">
        <f>AND(#REF!,"AAAAAG9u8wk=")</f>
        <v>#REF!</v>
      </c>
      <c r="K19" s="34" t="e">
        <f>AND(#REF!,"AAAAAG9u8wo=")</f>
        <v>#REF!</v>
      </c>
      <c r="L19" s="34" t="e">
        <f>AND(#REF!,"AAAAAG9u8ws=")</f>
        <v>#REF!</v>
      </c>
      <c r="M19" s="34" t="e">
        <f>AND(#REF!,"AAAAAG9u8ww=")</f>
        <v>#REF!</v>
      </c>
      <c r="N19" s="34" t="e">
        <f>AND(#REF!,"AAAAAG9u8w0=")</f>
        <v>#REF!</v>
      </c>
      <c r="O19" s="34" t="e">
        <f>AND(#REF!,"AAAAAG9u8w4=")</f>
        <v>#REF!</v>
      </c>
      <c r="P19" s="34" t="e">
        <f>AND(#REF!,"AAAAAG9u8w8=")</f>
        <v>#REF!</v>
      </c>
      <c r="Q19" s="34" t="e">
        <f>IF(#REF!,"AAAAAG9u8xA=",0)</f>
        <v>#REF!</v>
      </c>
      <c r="R19" s="34" t="e">
        <f>AND(#REF!,"AAAAAG9u8xE=")</f>
        <v>#REF!</v>
      </c>
      <c r="S19" s="34" t="e">
        <f>AND(#REF!,"AAAAAG9u8xI=")</f>
        <v>#REF!</v>
      </c>
      <c r="T19" s="34" t="e">
        <f>AND(#REF!,"AAAAAG9u8xM=")</f>
        <v>#REF!</v>
      </c>
      <c r="U19" s="34" t="e">
        <f>AND(#REF!,"AAAAAG9u8xQ=")</f>
        <v>#REF!</v>
      </c>
      <c r="V19" s="34" t="e">
        <f>AND(#REF!,"AAAAAG9u8xU=")</f>
        <v>#REF!</v>
      </c>
      <c r="W19" s="34" t="e">
        <f>AND(#REF!,"AAAAAG9u8xY=")</f>
        <v>#REF!</v>
      </c>
      <c r="X19" s="34" t="e">
        <f>AND(#REF!,"AAAAAG9u8xc=")</f>
        <v>#REF!</v>
      </c>
      <c r="Y19" s="34" t="e">
        <f>AND(#REF!,"AAAAAG9u8xg=")</f>
        <v>#REF!</v>
      </c>
      <c r="Z19" s="34" t="e">
        <f>AND(#REF!,"AAAAAG9u8xk=")</f>
        <v>#REF!</v>
      </c>
      <c r="AA19" s="34" t="e">
        <f>AND(#REF!,"AAAAAG9u8xo=")</f>
        <v>#REF!</v>
      </c>
      <c r="AB19" s="34" t="e">
        <f>AND(#REF!,"AAAAAG9u8xs=")</f>
        <v>#REF!</v>
      </c>
      <c r="AC19" s="34" t="e">
        <f>AND(#REF!,"AAAAAG9u8xw=")</f>
        <v>#REF!</v>
      </c>
      <c r="AD19" s="34" t="e">
        <f>AND(#REF!,"AAAAAG9u8x0=")</f>
        <v>#REF!</v>
      </c>
      <c r="AE19" s="34" t="e">
        <f>AND(#REF!,"AAAAAG9u8x4=")</f>
        <v>#REF!</v>
      </c>
      <c r="AF19" s="34" t="e">
        <f>AND(#REF!,"AAAAAG9u8x8=")</f>
        <v>#REF!</v>
      </c>
      <c r="AG19" s="34" t="e">
        <f>AND(#REF!,"AAAAAG9u8yA=")</f>
        <v>#REF!</v>
      </c>
      <c r="AH19" s="34" t="e">
        <f>AND(#REF!,"AAAAAG9u8yE=")</f>
        <v>#REF!</v>
      </c>
      <c r="AI19" s="34" t="e">
        <f>AND(#REF!,"AAAAAG9u8yI=")</f>
        <v>#REF!</v>
      </c>
      <c r="AJ19" s="34" t="e">
        <f>AND(#REF!,"AAAAAG9u8yM=")</f>
        <v>#REF!</v>
      </c>
      <c r="AK19" s="34" t="e">
        <f>AND(#REF!,"AAAAAG9u8yQ=")</f>
        <v>#REF!</v>
      </c>
      <c r="AL19" s="34" t="e">
        <f>AND(#REF!,"AAAAAG9u8yU=")</f>
        <v>#REF!</v>
      </c>
      <c r="AM19" s="34" t="e">
        <f>AND(#REF!,"AAAAAG9u8yY=")</f>
        <v>#REF!</v>
      </c>
      <c r="AN19" s="34" t="e">
        <f>AND(#REF!,"AAAAAG9u8yc=")</f>
        <v>#REF!</v>
      </c>
      <c r="AO19" s="34" t="e">
        <f>AND(#REF!,"AAAAAG9u8yg=")</f>
        <v>#REF!</v>
      </c>
      <c r="AP19" s="34" t="e">
        <f>AND(#REF!,"AAAAAG9u8yk=")</f>
        <v>#REF!</v>
      </c>
      <c r="AQ19" s="34" t="e">
        <f>AND(#REF!,"AAAAAG9u8yo=")</f>
        <v>#REF!</v>
      </c>
      <c r="AR19" s="34" t="e">
        <f>AND(#REF!,"AAAAAG9u8ys=")</f>
        <v>#REF!</v>
      </c>
      <c r="AS19" s="34" t="e">
        <f>AND(#REF!,"AAAAAG9u8yw=")</f>
        <v>#REF!</v>
      </c>
      <c r="AT19" s="34" t="e">
        <f>AND(#REF!,"AAAAAG9u8y0=")</f>
        <v>#REF!</v>
      </c>
      <c r="AU19" s="34" t="e">
        <f>AND(#REF!,"AAAAAG9u8y4=")</f>
        <v>#REF!</v>
      </c>
      <c r="AV19" s="34" t="e">
        <f>AND(#REF!,"AAAAAG9u8y8=")</f>
        <v>#REF!</v>
      </c>
      <c r="AW19" s="34" t="e">
        <f>AND(#REF!,"AAAAAG9u8zA=")</f>
        <v>#REF!</v>
      </c>
      <c r="AX19" s="34" t="e">
        <f>AND(#REF!,"AAAAAG9u8zE=")</f>
        <v>#REF!</v>
      </c>
      <c r="AY19" s="34" t="e">
        <f>AND(#REF!,"AAAAAG9u8zI=")</f>
        <v>#REF!</v>
      </c>
      <c r="AZ19" s="34" t="e">
        <f>AND(#REF!,"AAAAAG9u8zM=")</f>
        <v>#REF!</v>
      </c>
      <c r="BA19" s="34" t="e">
        <f>AND(#REF!,"AAAAAG9u8zQ=")</f>
        <v>#REF!</v>
      </c>
      <c r="BB19" s="34" t="e">
        <f>AND(#REF!,"AAAAAG9u8zU=")</f>
        <v>#REF!</v>
      </c>
      <c r="BC19" s="34" t="e">
        <f>AND(#REF!,"AAAAAG9u8zY=")</f>
        <v>#REF!</v>
      </c>
      <c r="BD19" s="34" t="e">
        <f>AND(#REF!,"AAAAAG9u8zc=")</f>
        <v>#REF!</v>
      </c>
      <c r="BE19" s="34" t="e">
        <f>AND(#REF!,"AAAAAG9u8zg=")</f>
        <v>#REF!</v>
      </c>
      <c r="BF19" s="34" t="e">
        <f>AND(#REF!,"AAAAAG9u8zk=")</f>
        <v>#REF!</v>
      </c>
      <c r="BG19" s="34" t="e">
        <f>AND(#REF!,"AAAAAG9u8zo=")</f>
        <v>#REF!</v>
      </c>
      <c r="BH19" s="34" t="e">
        <f>AND(#REF!,"AAAAAG9u8zs=")</f>
        <v>#REF!</v>
      </c>
      <c r="BI19" s="34" t="e">
        <f>AND(#REF!,"AAAAAG9u8zw=")</f>
        <v>#REF!</v>
      </c>
      <c r="BJ19" s="34" t="e">
        <f>AND(#REF!,"AAAAAG9u8z0=")</f>
        <v>#REF!</v>
      </c>
      <c r="BK19" s="34" t="e">
        <f>AND(#REF!,"AAAAAG9u8z4=")</f>
        <v>#REF!</v>
      </c>
      <c r="BL19" s="34" t="e">
        <f>AND(#REF!,"AAAAAG9u8z8=")</f>
        <v>#REF!</v>
      </c>
      <c r="BM19" s="34" t="e">
        <f>AND(#REF!,"AAAAAG9u80A=")</f>
        <v>#REF!</v>
      </c>
      <c r="BN19" s="34" t="e">
        <f>AND(#REF!,"AAAAAG9u80E=")</f>
        <v>#REF!</v>
      </c>
      <c r="BO19" s="34" t="e">
        <f>AND(#REF!,"AAAAAG9u80I=")</f>
        <v>#REF!</v>
      </c>
      <c r="BP19" s="34" t="e">
        <f>AND(#REF!,"AAAAAG9u80M=")</f>
        <v>#REF!</v>
      </c>
      <c r="BQ19" s="34" t="e">
        <f>AND(#REF!,"AAAAAG9u80Q=")</f>
        <v>#REF!</v>
      </c>
      <c r="BR19" s="34" t="e">
        <f>AND(#REF!,"AAAAAG9u80U=")</f>
        <v>#REF!</v>
      </c>
      <c r="BS19" s="34" t="e">
        <f>AND(#REF!,"AAAAAG9u80Y=")</f>
        <v>#REF!</v>
      </c>
      <c r="BT19" s="34" t="e">
        <f>AND(#REF!,"AAAAAG9u80c=")</f>
        <v>#REF!</v>
      </c>
      <c r="BU19" s="34" t="e">
        <f>AND(#REF!,"AAAAAG9u80g=")</f>
        <v>#REF!</v>
      </c>
      <c r="BV19" s="34" t="e">
        <f>AND(#REF!,"AAAAAG9u80k=")</f>
        <v>#REF!</v>
      </c>
      <c r="BW19" s="34" t="e">
        <f>AND(#REF!,"AAAAAG9u80o=")</f>
        <v>#REF!</v>
      </c>
      <c r="BX19" s="34" t="e">
        <f>AND(#REF!,"AAAAAG9u80s=")</f>
        <v>#REF!</v>
      </c>
      <c r="BY19" s="34" t="e">
        <f>AND(#REF!,"AAAAAG9u80w=")</f>
        <v>#REF!</v>
      </c>
      <c r="BZ19" s="34" t="e">
        <f>AND(#REF!,"AAAAAG9u800=")</f>
        <v>#REF!</v>
      </c>
      <c r="CA19" s="34" t="e">
        <f>AND(#REF!,"AAAAAG9u804=")</f>
        <v>#REF!</v>
      </c>
      <c r="CB19" s="34" t="e">
        <f>AND(#REF!,"AAAAAG9u808=")</f>
        <v>#REF!</v>
      </c>
      <c r="CC19" s="34" t="e">
        <f>AND(#REF!,"AAAAAG9u81A=")</f>
        <v>#REF!</v>
      </c>
      <c r="CD19" s="34" t="e">
        <f>AND(#REF!,"AAAAAG9u81E=")</f>
        <v>#REF!</v>
      </c>
      <c r="CE19" s="34" t="e">
        <f>AND(#REF!,"AAAAAG9u81I=")</f>
        <v>#REF!</v>
      </c>
      <c r="CF19" s="34" t="e">
        <f>AND(#REF!,"AAAAAG9u81M=")</f>
        <v>#REF!</v>
      </c>
      <c r="CG19" s="34" t="e">
        <f>AND(#REF!,"AAAAAG9u81Q=")</f>
        <v>#REF!</v>
      </c>
      <c r="CH19" s="34" t="e">
        <f>AND(#REF!,"AAAAAG9u81U=")</f>
        <v>#REF!</v>
      </c>
      <c r="CI19" s="34" t="e">
        <f>AND(#REF!,"AAAAAG9u81Y=")</f>
        <v>#REF!</v>
      </c>
      <c r="CJ19" s="34" t="e">
        <f>AND(#REF!,"AAAAAG9u81c=")</f>
        <v>#REF!</v>
      </c>
      <c r="CK19" s="34" t="e">
        <f>AND(#REF!,"AAAAAG9u81g=")</f>
        <v>#REF!</v>
      </c>
      <c r="CL19" s="34" t="e">
        <f>IF(#REF!,"AAAAAG9u81k=",0)</f>
        <v>#REF!</v>
      </c>
      <c r="CM19" s="34" t="e">
        <f>AND(#REF!,"AAAAAG9u81o=")</f>
        <v>#REF!</v>
      </c>
      <c r="CN19" s="34" t="e">
        <f>AND(#REF!,"AAAAAG9u81s=")</f>
        <v>#REF!</v>
      </c>
      <c r="CO19" s="34" t="e">
        <f>AND(#REF!,"AAAAAG9u81w=")</f>
        <v>#REF!</v>
      </c>
      <c r="CP19" s="34" t="e">
        <f>AND(#REF!,"AAAAAG9u810=")</f>
        <v>#REF!</v>
      </c>
      <c r="CQ19" s="34" t="e">
        <f>AND(#REF!,"AAAAAG9u814=")</f>
        <v>#REF!</v>
      </c>
      <c r="CR19" s="34" t="e">
        <f>AND(#REF!,"AAAAAG9u818=")</f>
        <v>#REF!</v>
      </c>
      <c r="CS19" s="34" t="e">
        <f>AND(#REF!,"AAAAAG9u82A=")</f>
        <v>#REF!</v>
      </c>
      <c r="CT19" s="34" t="e">
        <f>AND(#REF!,"AAAAAG9u82E=")</f>
        <v>#REF!</v>
      </c>
      <c r="CU19" s="34" t="e">
        <f>AND(#REF!,"AAAAAG9u82I=")</f>
        <v>#REF!</v>
      </c>
      <c r="CV19" s="34" t="e">
        <f>AND(#REF!,"AAAAAG9u82M=")</f>
        <v>#REF!</v>
      </c>
      <c r="CW19" s="34" t="e">
        <f>AND(#REF!,"AAAAAG9u82Q=")</f>
        <v>#REF!</v>
      </c>
      <c r="CX19" s="34" t="e">
        <f>AND(#REF!,"AAAAAG9u82U=")</f>
        <v>#REF!</v>
      </c>
      <c r="CY19" s="34" t="e">
        <f>AND(#REF!,"AAAAAG9u82Y=")</f>
        <v>#REF!</v>
      </c>
      <c r="CZ19" s="34" t="e">
        <f>AND(#REF!,"AAAAAG9u82c=")</f>
        <v>#REF!</v>
      </c>
      <c r="DA19" s="34" t="e">
        <f>AND(#REF!,"AAAAAG9u82g=")</f>
        <v>#REF!</v>
      </c>
      <c r="DB19" s="34" t="e">
        <f>AND(#REF!,"AAAAAG9u82k=")</f>
        <v>#REF!</v>
      </c>
      <c r="DC19" s="34" t="e">
        <f>AND(#REF!,"AAAAAG9u82o=")</f>
        <v>#REF!</v>
      </c>
      <c r="DD19" s="34" t="e">
        <f>AND(#REF!,"AAAAAG9u82s=")</f>
        <v>#REF!</v>
      </c>
      <c r="DE19" s="34" t="e">
        <f>AND(#REF!,"AAAAAG9u82w=")</f>
        <v>#REF!</v>
      </c>
      <c r="DF19" s="34" t="e">
        <f>AND(#REF!,"AAAAAG9u820=")</f>
        <v>#REF!</v>
      </c>
      <c r="DG19" s="34" t="e">
        <f>AND(#REF!,"AAAAAG9u824=")</f>
        <v>#REF!</v>
      </c>
      <c r="DH19" s="34" t="e">
        <f>AND(#REF!,"AAAAAG9u828=")</f>
        <v>#REF!</v>
      </c>
      <c r="DI19" s="34" t="e">
        <f>AND(#REF!,"AAAAAG9u83A=")</f>
        <v>#REF!</v>
      </c>
      <c r="DJ19" s="34" t="e">
        <f>AND(#REF!,"AAAAAG9u83E=")</f>
        <v>#REF!</v>
      </c>
      <c r="DK19" s="34" t="e">
        <f>AND(#REF!,"AAAAAG9u83I=")</f>
        <v>#REF!</v>
      </c>
      <c r="DL19" s="34" t="e">
        <f>AND(#REF!,"AAAAAG9u83M=")</f>
        <v>#REF!</v>
      </c>
      <c r="DM19" s="34" t="e">
        <f>AND(#REF!,"AAAAAG9u83Q=")</f>
        <v>#REF!</v>
      </c>
      <c r="DN19" s="34" t="e">
        <f>AND(#REF!,"AAAAAG9u83U=")</f>
        <v>#REF!</v>
      </c>
      <c r="DO19" s="34" t="e">
        <f>AND(#REF!,"AAAAAG9u83Y=")</f>
        <v>#REF!</v>
      </c>
      <c r="DP19" s="34" t="e">
        <f>AND(#REF!,"AAAAAG9u83c=")</f>
        <v>#REF!</v>
      </c>
      <c r="DQ19" s="34" t="e">
        <f>AND(#REF!,"AAAAAG9u83g=")</f>
        <v>#REF!</v>
      </c>
      <c r="DR19" s="34" t="e">
        <f>AND(#REF!,"AAAAAG9u83k=")</f>
        <v>#REF!</v>
      </c>
      <c r="DS19" s="34" t="e">
        <f>AND(#REF!,"AAAAAG9u83o=")</f>
        <v>#REF!</v>
      </c>
      <c r="DT19" s="34" t="e">
        <f>AND(#REF!,"AAAAAG9u83s=")</f>
        <v>#REF!</v>
      </c>
      <c r="DU19" s="34" t="e">
        <f>AND(#REF!,"AAAAAG9u83w=")</f>
        <v>#REF!</v>
      </c>
      <c r="DV19" s="34" t="e">
        <f>AND(#REF!,"AAAAAG9u830=")</f>
        <v>#REF!</v>
      </c>
      <c r="DW19" s="34" t="e">
        <f>AND(#REF!,"AAAAAG9u834=")</f>
        <v>#REF!</v>
      </c>
      <c r="DX19" s="34" t="e">
        <f>AND(#REF!,"AAAAAG9u838=")</f>
        <v>#REF!</v>
      </c>
      <c r="DY19" s="34" t="e">
        <f>AND(#REF!,"AAAAAG9u84A=")</f>
        <v>#REF!</v>
      </c>
      <c r="DZ19" s="34" t="e">
        <f>AND(#REF!,"AAAAAG9u84E=")</f>
        <v>#REF!</v>
      </c>
      <c r="EA19" s="34" t="e">
        <f>AND(#REF!,"AAAAAG9u84I=")</f>
        <v>#REF!</v>
      </c>
      <c r="EB19" s="34" t="e">
        <f>AND(#REF!,"AAAAAG9u84M=")</f>
        <v>#REF!</v>
      </c>
      <c r="EC19" s="34" t="e">
        <f>AND(#REF!,"AAAAAG9u84Q=")</f>
        <v>#REF!</v>
      </c>
      <c r="ED19" s="34" t="e">
        <f>AND(#REF!,"AAAAAG9u84U=")</f>
        <v>#REF!</v>
      </c>
      <c r="EE19" s="34" t="e">
        <f>AND(#REF!,"AAAAAG9u84Y=")</f>
        <v>#REF!</v>
      </c>
      <c r="EF19" s="34" t="e">
        <f>AND(#REF!,"AAAAAG9u84c=")</f>
        <v>#REF!</v>
      </c>
      <c r="EG19" s="34" t="e">
        <f>AND(#REF!,"AAAAAG9u84g=")</f>
        <v>#REF!</v>
      </c>
      <c r="EH19" s="34" t="e">
        <f>AND(#REF!,"AAAAAG9u84k=")</f>
        <v>#REF!</v>
      </c>
      <c r="EI19" s="34" t="e">
        <f>AND(#REF!,"AAAAAG9u84o=")</f>
        <v>#REF!</v>
      </c>
      <c r="EJ19" s="34" t="e">
        <f>AND(#REF!,"AAAAAG9u84s=")</f>
        <v>#REF!</v>
      </c>
      <c r="EK19" s="34" t="e">
        <f>AND(#REF!,"AAAAAG9u84w=")</f>
        <v>#REF!</v>
      </c>
      <c r="EL19" s="34" t="e">
        <f>AND(#REF!,"AAAAAG9u840=")</f>
        <v>#REF!</v>
      </c>
      <c r="EM19" s="34" t="e">
        <f>AND(#REF!,"AAAAAG9u844=")</f>
        <v>#REF!</v>
      </c>
      <c r="EN19" s="34" t="e">
        <f>AND(#REF!,"AAAAAG9u848=")</f>
        <v>#REF!</v>
      </c>
      <c r="EO19" s="34" t="e">
        <f>AND(#REF!,"AAAAAG9u85A=")</f>
        <v>#REF!</v>
      </c>
      <c r="EP19" s="34" t="e">
        <f>AND(#REF!,"AAAAAG9u85E=")</f>
        <v>#REF!</v>
      </c>
      <c r="EQ19" s="34" t="e">
        <f>AND(#REF!,"AAAAAG9u85I=")</f>
        <v>#REF!</v>
      </c>
      <c r="ER19" s="34" t="e">
        <f>AND(#REF!,"AAAAAG9u85M=")</f>
        <v>#REF!</v>
      </c>
      <c r="ES19" s="34" t="e">
        <f>AND(#REF!,"AAAAAG9u85Q=")</f>
        <v>#REF!</v>
      </c>
      <c r="ET19" s="34" t="e">
        <f>AND(#REF!,"AAAAAG9u85U=")</f>
        <v>#REF!</v>
      </c>
      <c r="EU19" s="34" t="e">
        <f>AND(#REF!,"AAAAAG9u85Y=")</f>
        <v>#REF!</v>
      </c>
      <c r="EV19" s="34" t="e">
        <f>AND(#REF!,"AAAAAG9u85c=")</f>
        <v>#REF!</v>
      </c>
      <c r="EW19" s="34" t="e">
        <f>AND(#REF!,"AAAAAG9u85g=")</f>
        <v>#REF!</v>
      </c>
      <c r="EX19" s="34" t="e">
        <f>AND(#REF!,"AAAAAG9u85k=")</f>
        <v>#REF!</v>
      </c>
      <c r="EY19" s="34" t="e">
        <f>AND(#REF!,"AAAAAG9u85o=")</f>
        <v>#REF!</v>
      </c>
      <c r="EZ19" s="34" t="e">
        <f>AND(#REF!,"AAAAAG9u85s=")</f>
        <v>#REF!</v>
      </c>
      <c r="FA19" s="34" t="e">
        <f>AND(#REF!,"AAAAAG9u85w=")</f>
        <v>#REF!</v>
      </c>
      <c r="FB19" s="34" t="e">
        <f>AND(#REF!,"AAAAAG9u850=")</f>
        <v>#REF!</v>
      </c>
      <c r="FC19" s="34" t="e">
        <f>AND(#REF!,"AAAAAG9u854=")</f>
        <v>#REF!</v>
      </c>
      <c r="FD19" s="34" t="e">
        <f>AND(#REF!,"AAAAAG9u858=")</f>
        <v>#REF!</v>
      </c>
      <c r="FE19" s="34" t="e">
        <f>AND(#REF!,"AAAAAG9u86A=")</f>
        <v>#REF!</v>
      </c>
      <c r="FF19" s="34" t="e">
        <f>AND(#REF!,"AAAAAG9u86E=")</f>
        <v>#REF!</v>
      </c>
      <c r="FG19" s="34" t="e">
        <f>IF(#REF!,"AAAAAG9u86I=",0)</f>
        <v>#REF!</v>
      </c>
      <c r="FH19" s="34" t="e">
        <f>AND(#REF!,"AAAAAG9u86M=")</f>
        <v>#REF!</v>
      </c>
      <c r="FI19" s="34" t="e">
        <f>AND(#REF!,"AAAAAG9u86Q=")</f>
        <v>#REF!</v>
      </c>
      <c r="FJ19" s="34" t="e">
        <f>AND(#REF!,"AAAAAG9u86U=")</f>
        <v>#REF!</v>
      </c>
      <c r="FK19" s="34" t="e">
        <f>AND(#REF!,"AAAAAG9u86Y=")</f>
        <v>#REF!</v>
      </c>
      <c r="FL19" s="34" t="e">
        <f>AND(#REF!,"AAAAAG9u86c=")</f>
        <v>#REF!</v>
      </c>
      <c r="FM19" s="34" t="e">
        <f>AND(#REF!,"AAAAAG9u86g=")</f>
        <v>#REF!</v>
      </c>
      <c r="FN19" s="34" t="e">
        <f>AND(#REF!,"AAAAAG9u86k=")</f>
        <v>#REF!</v>
      </c>
      <c r="FO19" s="34" t="e">
        <f>AND(#REF!,"AAAAAG9u86o=")</f>
        <v>#REF!</v>
      </c>
      <c r="FP19" s="34" t="e">
        <f>AND(#REF!,"AAAAAG9u86s=")</f>
        <v>#REF!</v>
      </c>
      <c r="FQ19" s="34" t="e">
        <f>AND(#REF!,"AAAAAG9u86w=")</f>
        <v>#REF!</v>
      </c>
      <c r="FR19" s="34" t="e">
        <f>AND(#REF!,"AAAAAG9u860=")</f>
        <v>#REF!</v>
      </c>
      <c r="FS19" s="34" t="e">
        <f>AND(#REF!,"AAAAAG9u864=")</f>
        <v>#REF!</v>
      </c>
      <c r="FT19" s="34" t="e">
        <f>AND(#REF!,"AAAAAG9u868=")</f>
        <v>#REF!</v>
      </c>
      <c r="FU19" s="34" t="e">
        <f>AND(#REF!,"AAAAAG9u87A=")</f>
        <v>#REF!</v>
      </c>
      <c r="FV19" s="34" t="e">
        <f>AND(#REF!,"AAAAAG9u87E=")</f>
        <v>#REF!</v>
      </c>
      <c r="FW19" s="34" t="e">
        <f>AND(#REF!,"AAAAAG9u87I=")</f>
        <v>#REF!</v>
      </c>
      <c r="FX19" s="34" t="e">
        <f>AND(#REF!,"AAAAAG9u87M=")</f>
        <v>#REF!</v>
      </c>
      <c r="FY19" s="34" t="e">
        <f>AND(#REF!,"AAAAAG9u87Q=")</f>
        <v>#REF!</v>
      </c>
      <c r="FZ19" s="34" t="e">
        <f>AND(#REF!,"AAAAAG9u87U=")</f>
        <v>#REF!</v>
      </c>
      <c r="GA19" s="34" t="e">
        <f>AND(#REF!,"AAAAAG9u87Y=")</f>
        <v>#REF!</v>
      </c>
      <c r="GB19" s="34" t="e">
        <f>AND(#REF!,"AAAAAG9u87c=")</f>
        <v>#REF!</v>
      </c>
      <c r="GC19" s="34" t="e">
        <f>AND(#REF!,"AAAAAG9u87g=")</f>
        <v>#REF!</v>
      </c>
      <c r="GD19" s="34" t="e">
        <f>AND(#REF!,"AAAAAG9u87k=")</f>
        <v>#REF!</v>
      </c>
      <c r="GE19" s="34" t="e">
        <f>AND(#REF!,"AAAAAG9u87o=")</f>
        <v>#REF!</v>
      </c>
      <c r="GF19" s="34" t="e">
        <f>AND(#REF!,"AAAAAG9u87s=")</f>
        <v>#REF!</v>
      </c>
      <c r="GG19" s="34" t="e">
        <f>AND(#REF!,"AAAAAG9u87w=")</f>
        <v>#REF!</v>
      </c>
      <c r="GH19" s="34" t="e">
        <f>AND(#REF!,"AAAAAG9u870=")</f>
        <v>#REF!</v>
      </c>
      <c r="GI19" s="34" t="e">
        <f>AND(#REF!,"AAAAAG9u874=")</f>
        <v>#REF!</v>
      </c>
      <c r="GJ19" s="34" t="e">
        <f>AND(#REF!,"AAAAAG9u878=")</f>
        <v>#REF!</v>
      </c>
      <c r="GK19" s="34" t="e">
        <f>AND(#REF!,"AAAAAG9u88A=")</f>
        <v>#REF!</v>
      </c>
      <c r="GL19" s="34" t="e">
        <f>AND(#REF!,"AAAAAG9u88E=")</f>
        <v>#REF!</v>
      </c>
      <c r="GM19" s="34" t="e">
        <f>AND(#REF!,"AAAAAG9u88I=")</f>
        <v>#REF!</v>
      </c>
      <c r="GN19" s="34" t="e">
        <f>AND(#REF!,"AAAAAG9u88M=")</f>
        <v>#REF!</v>
      </c>
      <c r="GO19" s="34" t="e">
        <f>AND(#REF!,"AAAAAG9u88Q=")</f>
        <v>#REF!</v>
      </c>
      <c r="GP19" s="34" t="e">
        <f>AND(#REF!,"AAAAAG9u88U=")</f>
        <v>#REF!</v>
      </c>
      <c r="GQ19" s="34" t="e">
        <f>AND(#REF!,"AAAAAG9u88Y=")</f>
        <v>#REF!</v>
      </c>
      <c r="GR19" s="34" t="e">
        <f>AND(#REF!,"AAAAAG9u88c=")</f>
        <v>#REF!</v>
      </c>
      <c r="GS19" s="34" t="e">
        <f>AND(#REF!,"AAAAAG9u88g=")</f>
        <v>#REF!</v>
      </c>
      <c r="GT19" s="34" t="e">
        <f>AND(#REF!,"AAAAAG9u88k=")</f>
        <v>#REF!</v>
      </c>
      <c r="GU19" s="34" t="e">
        <f>AND(#REF!,"AAAAAG9u88o=")</f>
        <v>#REF!</v>
      </c>
      <c r="GV19" s="34" t="e">
        <f>AND(#REF!,"AAAAAG9u88s=")</f>
        <v>#REF!</v>
      </c>
      <c r="GW19" s="34" t="e">
        <f>AND(#REF!,"AAAAAG9u88w=")</f>
        <v>#REF!</v>
      </c>
      <c r="GX19" s="34" t="e">
        <f>AND(#REF!,"AAAAAG9u880=")</f>
        <v>#REF!</v>
      </c>
      <c r="GY19" s="34" t="e">
        <f>AND(#REF!,"AAAAAG9u884=")</f>
        <v>#REF!</v>
      </c>
      <c r="GZ19" s="34" t="e">
        <f>AND(#REF!,"AAAAAG9u888=")</f>
        <v>#REF!</v>
      </c>
      <c r="HA19" s="34" t="e">
        <f>AND(#REF!,"AAAAAG9u89A=")</f>
        <v>#REF!</v>
      </c>
      <c r="HB19" s="34" t="e">
        <f>AND(#REF!,"AAAAAG9u89E=")</f>
        <v>#REF!</v>
      </c>
      <c r="HC19" s="34" t="e">
        <f>AND(#REF!,"AAAAAG9u89I=")</f>
        <v>#REF!</v>
      </c>
      <c r="HD19" s="34" t="e">
        <f>AND(#REF!,"AAAAAG9u89M=")</f>
        <v>#REF!</v>
      </c>
      <c r="HE19" s="34" t="e">
        <f>AND(#REF!,"AAAAAG9u89Q=")</f>
        <v>#REF!</v>
      </c>
      <c r="HF19" s="34" t="e">
        <f>AND(#REF!,"AAAAAG9u89U=")</f>
        <v>#REF!</v>
      </c>
      <c r="HG19" s="34" t="e">
        <f>AND(#REF!,"AAAAAG9u89Y=")</f>
        <v>#REF!</v>
      </c>
      <c r="HH19" s="34" t="e">
        <f>AND(#REF!,"AAAAAG9u89c=")</f>
        <v>#REF!</v>
      </c>
      <c r="HI19" s="34" t="e">
        <f>AND(#REF!,"AAAAAG9u89g=")</f>
        <v>#REF!</v>
      </c>
      <c r="HJ19" s="34" t="e">
        <f>AND(#REF!,"AAAAAG9u89k=")</f>
        <v>#REF!</v>
      </c>
      <c r="HK19" s="34" t="e">
        <f>AND(#REF!,"AAAAAG9u89o=")</f>
        <v>#REF!</v>
      </c>
      <c r="HL19" s="34" t="e">
        <f>AND(#REF!,"AAAAAG9u89s=")</f>
        <v>#REF!</v>
      </c>
      <c r="HM19" s="34" t="e">
        <f>AND(#REF!,"AAAAAG9u89w=")</f>
        <v>#REF!</v>
      </c>
      <c r="HN19" s="34" t="e">
        <f>AND(#REF!,"AAAAAG9u890=")</f>
        <v>#REF!</v>
      </c>
      <c r="HO19" s="34" t="e">
        <f>AND(#REF!,"AAAAAG9u894=")</f>
        <v>#REF!</v>
      </c>
      <c r="HP19" s="34" t="e">
        <f>AND(#REF!,"AAAAAG9u898=")</f>
        <v>#REF!</v>
      </c>
      <c r="HQ19" s="34" t="e">
        <f>AND(#REF!,"AAAAAG9u8+A=")</f>
        <v>#REF!</v>
      </c>
      <c r="HR19" s="34" t="e">
        <f>AND(#REF!,"AAAAAG9u8+E=")</f>
        <v>#REF!</v>
      </c>
      <c r="HS19" s="34" t="e">
        <f>AND(#REF!,"AAAAAG9u8+I=")</f>
        <v>#REF!</v>
      </c>
      <c r="HT19" s="34" t="e">
        <f>AND(#REF!,"AAAAAG9u8+M=")</f>
        <v>#REF!</v>
      </c>
      <c r="HU19" s="34" t="e">
        <f>AND(#REF!,"AAAAAG9u8+Q=")</f>
        <v>#REF!</v>
      </c>
      <c r="HV19" s="34" t="e">
        <f>AND(#REF!,"AAAAAG9u8+U=")</f>
        <v>#REF!</v>
      </c>
      <c r="HW19" s="34" t="e">
        <f>AND(#REF!,"AAAAAG9u8+Y=")</f>
        <v>#REF!</v>
      </c>
      <c r="HX19" s="34" t="e">
        <f>AND(#REF!,"AAAAAG9u8+c=")</f>
        <v>#REF!</v>
      </c>
      <c r="HY19" s="34" t="e">
        <f>AND(#REF!,"AAAAAG9u8+g=")</f>
        <v>#REF!</v>
      </c>
      <c r="HZ19" s="34" t="e">
        <f>AND(#REF!,"AAAAAG9u8+k=")</f>
        <v>#REF!</v>
      </c>
      <c r="IA19" s="34" t="e">
        <f>AND(#REF!,"AAAAAG9u8+o=")</f>
        <v>#REF!</v>
      </c>
      <c r="IB19" s="34" t="e">
        <f>IF(#REF!,"AAAAAG9u8+s=",0)</f>
        <v>#REF!</v>
      </c>
      <c r="IC19" s="34" t="e">
        <f>AND(#REF!,"AAAAAG9u8+w=")</f>
        <v>#REF!</v>
      </c>
      <c r="ID19" s="34" t="e">
        <f>AND(#REF!,"AAAAAG9u8+0=")</f>
        <v>#REF!</v>
      </c>
      <c r="IE19" s="34" t="e">
        <f>AND(#REF!,"AAAAAG9u8+4=")</f>
        <v>#REF!</v>
      </c>
      <c r="IF19" s="34" t="e">
        <f>AND(#REF!,"AAAAAG9u8+8=")</f>
        <v>#REF!</v>
      </c>
      <c r="IG19" s="34" t="e">
        <f>AND(#REF!,"AAAAAG9u8/A=")</f>
        <v>#REF!</v>
      </c>
      <c r="IH19" s="34" t="e">
        <f>AND(#REF!,"AAAAAG9u8/E=")</f>
        <v>#REF!</v>
      </c>
      <c r="II19" s="34" t="e">
        <f>AND(#REF!,"AAAAAG9u8/I=")</f>
        <v>#REF!</v>
      </c>
      <c r="IJ19" s="34" t="e">
        <f>AND(#REF!,"AAAAAG9u8/M=")</f>
        <v>#REF!</v>
      </c>
      <c r="IK19" s="34" t="e">
        <f>AND(#REF!,"AAAAAG9u8/Q=")</f>
        <v>#REF!</v>
      </c>
      <c r="IL19" s="34" t="e">
        <f>AND(#REF!,"AAAAAG9u8/U=")</f>
        <v>#REF!</v>
      </c>
      <c r="IM19" s="34" t="e">
        <f>AND(#REF!,"AAAAAG9u8/Y=")</f>
        <v>#REF!</v>
      </c>
      <c r="IN19" s="34" t="e">
        <f>AND(#REF!,"AAAAAG9u8/c=")</f>
        <v>#REF!</v>
      </c>
      <c r="IO19" s="34" t="e">
        <f>AND(#REF!,"AAAAAG9u8/g=")</f>
        <v>#REF!</v>
      </c>
      <c r="IP19" s="34" t="e">
        <f>AND(#REF!,"AAAAAG9u8/k=")</f>
        <v>#REF!</v>
      </c>
      <c r="IQ19" s="34" t="e">
        <f>AND(#REF!,"AAAAAG9u8/o=")</f>
        <v>#REF!</v>
      </c>
      <c r="IR19" s="34" t="e">
        <f>AND(#REF!,"AAAAAG9u8/s=")</f>
        <v>#REF!</v>
      </c>
      <c r="IS19" s="34" t="e">
        <f>AND(#REF!,"AAAAAG9u8/w=")</f>
        <v>#REF!</v>
      </c>
      <c r="IT19" s="34" t="e">
        <f>AND(#REF!,"AAAAAG9u8/0=")</f>
        <v>#REF!</v>
      </c>
      <c r="IU19" s="34" t="e">
        <f>AND(#REF!,"AAAAAG9u8/4=")</f>
        <v>#REF!</v>
      </c>
      <c r="IV19" s="34" t="e">
        <f>AND(#REF!,"AAAAAG9u8/8=")</f>
        <v>#REF!</v>
      </c>
    </row>
    <row r="20" spans="1:256" ht="12.75" customHeight="1" x14ac:dyDescent="0.2">
      <c r="A20" s="34" t="e">
        <f>AND(#REF!,"AAAAAGf7tQA=")</f>
        <v>#REF!</v>
      </c>
      <c r="B20" s="34" t="e">
        <f>AND(#REF!,"AAAAAGf7tQE=")</f>
        <v>#REF!</v>
      </c>
      <c r="C20" s="34" t="e">
        <f>AND(#REF!,"AAAAAGf7tQI=")</f>
        <v>#REF!</v>
      </c>
      <c r="D20" s="34" t="e">
        <f>AND(#REF!,"AAAAAGf7tQM=")</f>
        <v>#REF!</v>
      </c>
      <c r="E20" s="34" t="e">
        <f>AND(#REF!,"AAAAAGf7tQQ=")</f>
        <v>#REF!</v>
      </c>
      <c r="F20" s="34" t="e">
        <f>AND(#REF!,"AAAAAGf7tQU=")</f>
        <v>#REF!</v>
      </c>
      <c r="G20" s="34" t="e">
        <f>AND(#REF!,"AAAAAGf7tQY=")</f>
        <v>#REF!</v>
      </c>
      <c r="H20" s="34" t="e">
        <f>AND(#REF!,"AAAAAGf7tQc=")</f>
        <v>#REF!</v>
      </c>
      <c r="I20" s="34" t="e">
        <f>AND(#REF!,"AAAAAGf7tQg=")</f>
        <v>#REF!</v>
      </c>
      <c r="J20" s="34" t="e">
        <f>AND(#REF!,"AAAAAGf7tQk=")</f>
        <v>#REF!</v>
      </c>
      <c r="K20" s="34" t="e">
        <f>AND(#REF!,"AAAAAGf7tQo=")</f>
        <v>#REF!</v>
      </c>
      <c r="L20" s="34" t="e">
        <f>AND(#REF!,"AAAAAGf7tQs=")</f>
        <v>#REF!</v>
      </c>
      <c r="M20" s="34" t="e">
        <f>AND(#REF!,"AAAAAGf7tQw=")</f>
        <v>#REF!</v>
      </c>
      <c r="N20" s="34" t="e">
        <f>AND(#REF!,"AAAAAGf7tQ0=")</f>
        <v>#REF!</v>
      </c>
      <c r="O20" s="34" t="e">
        <f>AND(#REF!,"AAAAAGf7tQ4=")</f>
        <v>#REF!</v>
      </c>
      <c r="P20" s="34" t="e">
        <f>AND(#REF!,"AAAAAGf7tQ8=")</f>
        <v>#REF!</v>
      </c>
      <c r="Q20" s="34" t="e">
        <f>AND(#REF!,"AAAAAGf7tRA=")</f>
        <v>#REF!</v>
      </c>
      <c r="R20" s="34" t="e">
        <f>AND(#REF!,"AAAAAGf7tRE=")</f>
        <v>#REF!</v>
      </c>
      <c r="S20" s="34" t="e">
        <f>AND(#REF!,"AAAAAGf7tRI=")</f>
        <v>#REF!</v>
      </c>
      <c r="T20" s="34" t="e">
        <f>AND(#REF!,"AAAAAGf7tRM=")</f>
        <v>#REF!</v>
      </c>
      <c r="U20" s="34" t="e">
        <f>AND(#REF!,"AAAAAGf7tRQ=")</f>
        <v>#REF!</v>
      </c>
      <c r="V20" s="34" t="e">
        <f>AND(#REF!,"AAAAAGf7tRU=")</f>
        <v>#REF!</v>
      </c>
      <c r="W20" s="34" t="e">
        <f>AND(#REF!,"AAAAAGf7tRY=")</f>
        <v>#REF!</v>
      </c>
      <c r="X20" s="34" t="e">
        <f>AND(#REF!,"AAAAAGf7tRc=")</f>
        <v>#REF!</v>
      </c>
      <c r="Y20" s="34" t="e">
        <f>AND(#REF!,"AAAAAGf7tRg=")</f>
        <v>#REF!</v>
      </c>
      <c r="Z20" s="34" t="e">
        <f>AND(#REF!,"AAAAAGf7tRk=")</f>
        <v>#REF!</v>
      </c>
      <c r="AA20" s="34" t="e">
        <f>AND(#REF!,"AAAAAGf7tRo=")</f>
        <v>#REF!</v>
      </c>
      <c r="AB20" s="34" t="e">
        <f>AND(#REF!,"AAAAAGf7tRs=")</f>
        <v>#REF!</v>
      </c>
      <c r="AC20" s="34" t="e">
        <f>AND(#REF!,"AAAAAGf7tRw=")</f>
        <v>#REF!</v>
      </c>
      <c r="AD20" s="34" t="e">
        <f>AND(#REF!,"AAAAAGf7tR0=")</f>
        <v>#REF!</v>
      </c>
      <c r="AE20" s="34" t="e">
        <f>AND(#REF!,"AAAAAGf7tR4=")</f>
        <v>#REF!</v>
      </c>
      <c r="AF20" s="34" t="e">
        <f>AND(#REF!,"AAAAAGf7tR8=")</f>
        <v>#REF!</v>
      </c>
      <c r="AG20" s="34" t="e">
        <f>AND(#REF!,"AAAAAGf7tSA=")</f>
        <v>#REF!</v>
      </c>
      <c r="AH20" s="34" t="e">
        <f>AND(#REF!,"AAAAAGf7tSE=")</f>
        <v>#REF!</v>
      </c>
      <c r="AI20" s="34" t="e">
        <f>AND(#REF!,"AAAAAGf7tSI=")</f>
        <v>#REF!</v>
      </c>
      <c r="AJ20" s="34" t="e">
        <f>AND(#REF!,"AAAAAGf7tSM=")</f>
        <v>#REF!</v>
      </c>
      <c r="AK20" s="34" t="e">
        <f>AND(#REF!,"AAAAAGf7tSQ=")</f>
        <v>#REF!</v>
      </c>
      <c r="AL20" s="34" t="e">
        <f>AND(#REF!,"AAAAAGf7tSU=")</f>
        <v>#REF!</v>
      </c>
      <c r="AM20" s="34" t="e">
        <f>AND(#REF!,"AAAAAGf7tSY=")</f>
        <v>#REF!</v>
      </c>
      <c r="AN20" s="34" t="e">
        <f>AND(#REF!,"AAAAAGf7tSc=")</f>
        <v>#REF!</v>
      </c>
      <c r="AO20" s="34" t="e">
        <f>AND(#REF!,"AAAAAGf7tSg=")</f>
        <v>#REF!</v>
      </c>
      <c r="AP20" s="34" t="e">
        <f>AND(#REF!,"AAAAAGf7tSk=")</f>
        <v>#REF!</v>
      </c>
      <c r="AQ20" s="34" t="e">
        <f>AND(#REF!,"AAAAAGf7tSo=")</f>
        <v>#REF!</v>
      </c>
      <c r="AR20" s="34" t="e">
        <f>AND(#REF!,"AAAAAGf7tSs=")</f>
        <v>#REF!</v>
      </c>
      <c r="AS20" s="34" t="e">
        <f>AND(#REF!,"AAAAAGf7tSw=")</f>
        <v>#REF!</v>
      </c>
      <c r="AT20" s="34" t="e">
        <f>AND(#REF!,"AAAAAGf7tS0=")</f>
        <v>#REF!</v>
      </c>
      <c r="AU20" s="34" t="e">
        <f>AND(#REF!,"AAAAAGf7tS4=")</f>
        <v>#REF!</v>
      </c>
      <c r="AV20" s="34" t="e">
        <f>AND(#REF!,"AAAAAGf7tS8=")</f>
        <v>#REF!</v>
      </c>
      <c r="AW20" s="34" t="e">
        <f>AND(#REF!,"AAAAAGf7tTA=")</f>
        <v>#REF!</v>
      </c>
      <c r="AX20" s="34" t="e">
        <f>AND(#REF!,"AAAAAGf7tTE=")</f>
        <v>#REF!</v>
      </c>
      <c r="AY20" s="34" t="e">
        <f>AND(#REF!,"AAAAAGf7tTI=")</f>
        <v>#REF!</v>
      </c>
      <c r="AZ20" s="34" t="e">
        <f>AND(#REF!,"AAAAAGf7tTM=")</f>
        <v>#REF!</v>
      </c>
      <c r="BA20" s="34" t="e">
        <f>IF(#REF!,"AAAAAGf7tTQ=",0)</f>
        <v>#REF!</v>
      </c>
      <c r="BB20" s="34" t="e">
        <f>AND(#REF!,"AAAAAGf7tTU=")</f>
        <v>#REF!</v>
      </c>
      <c r="BC20" s="34" t="e">
        <f>AND(#REF!,"AAAAAGf7tTY=")</f>
        <v>#REF!</v>
      </c>
      <c r="BD20" s="34" t="e">
        <f>AND(#REF!,"AAAAAGf7tTc=")</f>
        <v>#REF!</v>
      </c>
      <c r="BE20" s="34" t="e">
        <f>AND(#REF!,"AAAAAGf7tTg=")</f>
        <v>#REF!</v>
      </c>
      <c r="BF20" s="34" t="e">
        <f>AND(#REF!,"AAAAAGf7tTk=")</f>
        <v>#REF!</v>
      </c>
      <c r="BG20" s="34" t="e">
        <f>AND(#REF!,"AAAAAGf7tTo=")</f>
        <v>#REF!</v>
      </c>
      <c r="BH20" s="34" t="e">
        <f>AND(#REF!,"AAAAAGf7tTs=")</f>
        <v>#REF!</v>
      </c>
      <c r="BI20" s="34" t="e">
        <f>AND(#REF!,"AAAAAGf7tTw=")</f>
        <v>#REF!</v>
      </c>
      <c r="BJ20" s="34" t="e">
        <f>AND(#REF!,"AAAAAGf7tT0=")</f>
        <v>#REF!</v>
      </c>
      <c r="BK20" s="34" t="e">
        <f>AND(#REF!,"AAAAAGf7tT4=")</f>
        <v>#REF!</v>
      </c>
      <c r="BL20" s="34" t="e">
        <f>AND(#REF!,"AAAAAGf7tT8=")</f>
        <v>#REF!</v>
      </c>
      <c r="BM20" s="34" t="e">
        <f>AND(#REF!,"AAAAAGf7tUA=")</f>
        <v>#REF!</v>
      </c>
      <c r="BN20" s="34" t="e">
        <f>AND(#REF!,"AAAAAGf7tUE=")</f>
        <v>#REF!</v>
      </c>
      <c r="BO20" s="34" t="e">
        <f>AND(#REF!,"AAAAAGf7tUI=")</f>
        <v>#REF!</v>
      </c>
      <c r="BP20" s="34" t="e">
        <f>AND(#REF!,"AAAAAGf7tUM=")</f>
        <v>#REF!</v>
      </c>
      <c r="BQ20" s="34" t="e">
        <f>AND(#REF!,"AAAAAGf7tUQ=")</f>
        <v>#REF!</v>
      </c>
      <c r="BR20" s="34" t="e">
        <f>AND(#REF!,"AAAAAGf7tUU=")</f>
        <v>#REF!</v>
      </c>
      <c r="BS20" s="34" t="e">
        <f>AND(#REF!,"AAAAAGf7tUY=")</f>
        <v>#REF!</v>
      </c>
      <c r="BT20" s="34" t="e">
        <f>AND(#REF!,"AAAAAGf7tUc=")</f>
        <v>#REF!</v>
      </c>
      <c r="BU20" s="34" t="e">
        <f>AND(#REF!,"AAAAAGf7tUg=")</f>
        <v>#REF!</v>
      </c>
      <c r="BV20" s="34" t="e">
        <f>AND(#REF!,"AAAAAGf7tUk=")</f>
        <v>#REF!</v>
      </c>
      <c r="BW20" s="34" t="e">
        <f>AND(#REF!,"AAAAAGf7tUo=")</f>
        <v>#REF!</v>
      </c>
      <c r="BX20" s="34" t="e">
        <f>AND(#REF!,"AAAAAGf7tUs=")</f>
        <v>#REF!</v>
      </c>
      <c r="BY20" s="34" t="e">
        <f>AND(#REF!,"AAAAAGf7tUw=")</f>
        <v>#REF!</v>
      </c>
      <c r="BZ20" s="34" t="e">
        <f>AND(#REF!,"AAAAAGf7tU0=")</f>
        <v>#REF!</v>
      </c>
      <c r="CA20" s="34" t="e">
        <f>AND(#REF!,"AAAAAGf7tU4=")</f>
        <v>#REF!</v>
      </c>
      <c r="CB20" s="34" t="e">
        <f>AND(#REF!,"AAAAAGf7tU8=")</f>
        <v>#REF!</v>
      </c>
      <c r="CC20" s="34" t="e">
        <f>AND(#REF!,"AAAAAGf7tVA=")</f>
        <v>#REF!</v>
      </c>
      <c r="CD20" s="34" t="e">
        <f>AND(#REF!,"AAAAAGf7tVE=")</f>
        <v>#REF!</v>
      </c>
      <c r="CE20" s="34" t="e">
        <f>AND(#REF!,"AAAAAGf7tVI=")</f>
        <v>#REF!</v>
      </c>
      <c r="CF20" s="34" t="e">
        <f>AND(#REF!,"AAAAAGf7tVM=")</f>
        <v>#REF!</v>
      </c>
      <c r="CG20" s="34" t="e">
        <f>AND(#REF!,"AAAAAGf7tVQ=")</f>
        <v>#REF!</v>
      </c>
      <c r="CH20" s="34" t="e">
        <f>AND(#REF!,"AAAAAGf7tVU=")</f>
        <v>#REF!</v>
      </c>
      <c r="CI20" s="34" t="e">
        <f>AND(#REF!,"AAAAAGf7tVY=")</f>
        <v>#REF!</v>
      </c>
      <c r="CJ20" s="34" t="e">
        <f>AND(#REF!,"AAAAAGf7tVc=")</f>
        <v>#REF!</v>
      </c>
      <c r="CK20" s="34" t="e">
        <f>AND(#REF!,"AAAAAGf7tVg=")</f>
        <v>#REF!</v>
      </c>
      <c r="CL20" s="34" t="e">
        <f>AND(#REF!,"AAAAAGf7tVk=")</f>
        <v>#REF!</v>
      </c>
      <c r="CM20" s="34" t="e">
        <f>AND(#REF!,"AAAAAGf7tVo=")</f>
        <v>#REF!</v>
      </c>
      <c r="CN20" s="34" t="e">
        <f>AND(#REF!,"AAAAAGf7tVs=")</f>
        <v>#REF!</v>
      </c>
      <c r="CO20" s="34" t="e">
        <f>AND(#REF!,"AAAAAGf7tVw=")</f>
        <v>#REF!</v>
      </c>
      <c r="CP20" s="34" t="e">
        <f>AND(#REF!,"AAAAAGf7tV0=")</f>
        <v>#REF!</v>
      </c>
      <c r="CQ20" s="34" t="e">
        <f>AND(#REF!,"AAAAAGf7tV4=")</f>
        <v>#REF!</v>
      </c>
      <c r="CR20" s="34" t="e">
        <f>AND(#REF!,"AAAAAGf7tV8=")</f>
        <v>#REF!</v>
      </c>
      <c r="CS20" s="34" t="e">
        <f>AND(#REF!,"AAAAAGf7tWA=")</f>
        <v>#REF!</v>
      </c>
      <c r="CT20" s="34" t="e">
        <f>AND(#REF!,"AAAAAGf7tWE=")</f>
        <v>#REF!</v>
      </c>
      <c r="CU20" s="34" t="e">
        <f>AND(#REF!,"AAAAAGf7tWI=")</f>
        <v>#REF!</v>
      </c>
      <c r="CV20" s="34" t="e">
        <f>AND(#REF!,"AAAAAGf7tWM=")</f>
        <v>#REF!</v>
      </c>
      <c r="CW20" s="34" t="e">
        <f>AND(#REF!,"AAAAAGf7tWQ=")</f>
        <v>#REF!</v>
      </c>
      <c r="CX20" s="34" t="e">
        <f>AND(#REF!,"AAAAAGf7tWU=")</f>
        <v>#REF!</v>
      </c>
      <c r="CY20" s="34" t="e">
        <f>AND(#REF!,"AAAAAGf7tWY=")</f>
        <v>#REF!</v>
      </c>
      <c r="CZ20" s="34" t="e">
        <f>AND(#REF!,"AAAAAGf7tWc=")</f>
        <v>#REF!</v>
      </c>
      <c r="DA20" s="34" t="e">
        <f>AND(#REF!,"AAAAAGf7tWg=")</f>
        <v>#REF!</v>
      </c>
      <c r="DB20" s="34" t="e">
        <f>AND(#REF!,"AAAAAGf7tWk=")</f>
        <v>#REF!</v>
      </c>
      <c r="DC20" s="34" t="e">
        <f>AND(#REF!,"AAAAAGf7tWo=")</f>
        <v>#REF!</v>
      </c>
      <c r="DD20" s="34" t="e">
        <f>AND(#REF!,"AAAAAGf7tWs=")</f>
        <v>#REF!</v>
      </c>
      <c r="DE20" s="34" t="e">
        <f>AND(#REF!,"AAAAAGf7tWw=")</f>
        <v>#REF!</v>
      </c>
      <c r="DF20" s="34" t="e">
        <f>AND(#REF!,"AAAAAGf7tW0=")</f>
        <v>#REF!</v>
      </c>
      <c r="DG20" s="34" t="e">
        <f>AND(#REF!,"AAAAAGf7tW4=")</f>
        <v>#REF!</v>
      </c>
      <c r="DH20" s="34" t="e">
        <f>AND(#REF!,"AAAAAGf7tW8=")</f>
        <v>#REF!</v>
      </c>
      <c r="DI20" s="34" t="e">
        <f>AND(#REF!,"AAAAAGf7tXA=")</f>
        <v>#REF!</v>
      </c>
      <c r="DJ20" s="34" t="e">
        <f>AND(#REF!,"AAAAAGf7tXE=")</f>
        <v>#REF!</v>
      </c>
      <c r="DK20" s="34" t="e">
        <f>AND(#REF!,"AAAAAGf7tXI=")</f>
        <v>#REF!</v>
      </c>
      <c r="DL20" s="34" t="e">
        <f>AND(#REF!,"AAAAAGf7tXM=")</f>
        <v>#REF!</v>
      </c>
      <c r="DM20" s="34" t="e">
        <f>AND(#REF!,"AAAAAGf7tXQ=")</f>
        <v>#REF!</v>
      </c>
      <c r="DN20" s="34" t="e">
        <f>AND(#REF!,"AAAAAGf7tXU=")</f>
        <v>#REF!</v>
      </c>
      <c r="DO20" s="34" t="e">
        <f>AND(#REF!,"AAAAAGf7tXY=")</f>
        <v>#REF!</v>
      </c>
      <c r="DP20" s="34" t="e">
        <f>AND(#REF!,"AAAAAGf7tXc=")</f>
        <v>#REF!</v>
      </c>
      <c r="DQ20" s="34" t="e">
        <f>AND(#REF!,"AAAAAGf7tXg=")</f>
        <v>#REF!</v>
      </c>
      <c r="DR20" s="34" t="e">
        <f>AND(#REF!,"AAAAAGf7tXk=")</f>
        <v>#REF!</v>
      </c>
      <c r="DS20" s="34" t="e">
        <f>AND(#REF!,"AAAAAGf7tXo=")</f>
        <v>#REF!</v>
      </c>
      <c r="DT20" s="34" t="e">
        <f>AND(#REF!,"AAAAAGf7tXs=")</f>
        <v>#REF!</v>
      </c>
      <c r="DU20" s="34" t="e">
        <f>AND(#REF!,"AAAAAGf7tXw=")</f>
        <v>#REF!</v>
      </c>
      <c r="DV20" s="34" t="e">
        <f>IF(#REF!,"AAAAAGf7tX0=",0)</f>
        <v>#REF!</v>
      </c>
      <c r="DW20" s="34" t="e">
        <f>AND(#REF!,"AAAAAGf7tX4=")</f>
        <v>#REF!</v>
      </c>
      <c r="DX20" s="34" t="e">
        <f>AND(#REF!,"AAAAAGf7tX8=")</f>
        <v>#REF!</v>
      </c>
      <c r="DY20" s="34" t="e">
        <f>AND(#REF!,"AAAAAGf7tYA=")</f>
        <v>#REF!</v>
      </c>
      <c r="DZ20" s="34" t="e">
        <f>AND(#REF!,"AAAAAGf7tYE=")</f>
        <v>#REF!</v>
      </c>
      <c r="EA20" s="34" t="e">
        <f>AND(#REF!,"AAAAAGf7tYI=")</f>
        <v>#REF!</v>
      </c>
      <c r="EB20" s="34" t="e">
        <f>AND(#REF!,"AAAAAGf7tYM=")</f>
        <v>#REF!</v>
      </c>
      <c r="EC20" s="34" t="e">
        <f>AND(#REF!,"AAAAAGf7tYQ=")</f>
        <v>#REF!</v>
      </c>
      <c r="ED20" s="34" t="e">
        <f>AND(#REF!,"AAAAAGf7tYU=")</f>
        <v>#REF!</v>
      </c>
      <c r="EE20" s="34" t="e">
        <f>AND(#REF!,"AAAAAGf7tYY=")</f>
        <v>#REF!</v>
      </c>
      <c r="EF20" s="34" t="e">
        <f>AND(#REF!,"AAAAAGf7tYc=")</f>
        <v>#REF!</v>
      </c>
      <c r="EG20" s="34" t="e">
        <f>AND(#REF!,"AAAAAGf7tYg=")</f>
        <v>#REF!</v>
      </c>
      <c r="EH20" s="34" t="e">
        <f>AND(#REF!,"AAAAAGf7tYk=")</f>
        <v>#REF!</v>
      </c>
      <c r="EI20" s="34" t="e">
        <f>AND(#REF!,"AAAAAGf7tYo=")</f>
        <v>#REF!</v>
      </c>
      <c r="EJ20" s="34" t="e">
        <f>AND(#REF!,"AAAAAGf7tYs=")</f>
        <v>#REF!</v>
      </c>
      <c r="EK20" s="34" t="e">
        <f>AND(#REF!,"AAAAAGf7tYw=")</f>
        <v>#REF!</v>
      </c>
      <c r="EL20" s="34" t="e">
        <f>AND(#REF!,"AAAAAGf7tY0=")</f>
        <v>#REF!</v>
      </c>
      <c r="EM20" s="34" t="e">
        <f>AND(#REF!,"AAAAAGf7tY4=")</f>
        <v>#REF!</v>
      </c>
      <c r="EN20" s="34" t="e">
        <f>AND(#REF!,"AAAAAGf7tY8=")</f>
        <v>#REF!</v>
      </c>
      <c r="EO20" s="34" t="e">
        <f>AND(#REF!,"AAAAAGf7tZA=")</f>
        <v>#REF!</v>
      </c>
      <c r="EP20" s="34" t="e">
        <f>AND(#REF!,"AAAAAGf7tZE=")</f>
        <v>#REF!</v>
      </c>
      <c r="EQ20" s="34" t="e">
        <f>AND(#REF!,"AAAAAGf7tZI=")</f>
        <v>#REF!</v>
      </c>
      <c r="ER20" s="34" t="e">
        <f>AND(#REF!,"AAAAAGf7tZM=")</f>
        <v>#REF!</v>
      </c>
      <c r="ES20" s="34" t="e">
        <f>AND(#REF!,"AAAAAGf7tZQ=")</f>
        <v>#REF!</v>
      </c>
      <c r="ET20" s="34" t="e">
        <f>AND(#REF!,"AAAAAGf7tZU=")</f>
        <v>#REF!</v>
      </c>
      <c r="EU20" s="34" t="e">
        <f>AND(#REF!,"AAAAAGf7tZY=")</f>
        <v>#REF!</v>
      </c>
      <c r="EV20" s="34" t="e">
        <f>AND(#REF!,"AAAAAGf7tZc=")</f>
        <v>#REF!</v>
      </c>
      <c r="EW20" s="34" t="e">
        <f>AND(#REF!,"AAAAAGf7tZg=")</f>
        <v>#REF!</v>
      </c>
      <c r="EX20" s="34" t="e">
        <f>AND(#REF!,"AAAAAGf7tZk=")</f>
        <v>#REF!</v>
      </c>
      <c r="EY20" s="34" t="e">
        <f>AND(#REF!,"AAAAAGf7tZo=")</f>
        <v>#REF!</v>
      </c>
      <c r="EZ20" s="34" t="e">
        <f>AND(#REF!,"AAAAAGf7tZs=")</f>
        <v>#REF!</v>
      </c>
      <c r="FA20" s="34" t="e">
        <f>AND(#REF!,"AAAAAGf7tZw=")</f>
        <v>#REF!</v>
      </c>
      <c r="FB20" s="34" t="e">
        <f>AND(#REF!,"AAAAAGf7tZ0=")</f>
        <v>#REF!</v>
      </c>
      <c r="FC20" s="34" t="e">
        <f>AND(#REF!,"AAAAAGf7tZ4=")</f>
        <v>#REF!</v>
      </c>
      <c r="FD20" s="34" t="e">
        <f>AND(#REF!,"AAAAAGf7tZ8=")</f>
        <v>#REF!</v>
      </c>
      <c r="FE20" s="34" t="e">
        <f>AND(#REF!,"AAAAAGf7taA=")</f>
        <v>#REF!</v>
      </c>
      <c r="FF20" s="34" t="e">
        <f>AND(#REF!,"AAAAAGf7taE=")</f>
        <v>#REF!</v>
      </c>
      <c r="FG20" s="34" t="e">
        <f>AND(#REF!,"AAAAAGf7taI=")</f>
        <v>#REF!</v>
      </c>
      <c r="FH20" s="34" t="e">
        <f>AND(#REF!,"AAAAAGf7taM=")</f>
        <v>#REF!</v>
      </c>
      <c r="FI20" s="34" t="e">
        <f>AND(#REF!,"AAAAAGf7taQ=")</f>
        <v>#REF!</v>
      </c>
      <c r="FJ20" s="34" t="e">
        <f>AND(#REF!,"AAAAAGf7taU=")</f>
        <v>#REF!</v>
      </c>
      <c r="FK20" s="34" t="e">
        <f>AND(#REF!,"AAAAAGf7taY=")</f>
        <v>#REF!</v>
      </c>
      <c r="FL20" s="34" t="e">
        <f>AND(#REF!,"AAAAAGf7tac=")</f>
        <v>#REF!</v>
      </c>
      <c r="FM20" s="34" t="e">
        <f>AND(#REF!,"AAAAAGf7tag=")</f>
        <v>#REF!</v>
      </c>
      <c r="FN20" s="34" t="e">
        <f>AND(#REF!,"AAAAAGf7tak=")</f>
        <v>#REF!</v>
      </c>
      <c r="FO20" s="34" t="e">
        <f>AND(#REF!,"AAAAAGf7tao=")</f>
        <v>#REF!</v>
      </c>
      <c r="FP20" s="34" t="e">
        <f>AND(#REF!,"AAAAAGf7tas=")</f>
        <v>#REF!</v>
      </c>
      <c r="FQ20" s="34" t="e">
        <f>AND(#REF!,"AAAAAGf7taw=")</f>
        <v>#REF!</v>
      </c>
      <c r="FR20" s="34" t="e">
        <f>AND(#REF!,"AAAAAGf7ta0=")</f>
        <v>#REF!</v>
      </c>
      <c r="FS20" s="34" t="e">
        <f>AND(#REF!,"AAAAAGf7ta4=")</f>
        <v>#REF!</v>
      </c>
      <c r="FT20" s="34" t="e">
        <f>AND(#REF!,"AAAAAGf7ta8=")</f>
        <v>#REF!</v>
      </c>
      <c r="FU20" s="34" t="e">
        <f>AND(#REF!,"AAAAAGf7tbA=")</f>
        <v>#REF!</v>
      </c>
      <c r="FV20" s="34" t="e">
        <f>AND(#REF!,"AAAAAGf7tbE=")</f>
        <v>#REF!</v>
      </c>
      <c r="FW20" s="34" t="e">
        <f>AND(#REF!,"AAAAAGf7tbI=")</f>
        <v>#REF!</v>
      </c>
      <c r="FX20" s="34" t="e">
        <f>AND(#REF!,"AAAAAGf7tbM=")</f>
        <v>#REF!</v>
      </c>
      <c r="FY20" s="34" t="e">
        <f>AND(#REF!,"AAAAAGf7tbQ=")</f>
        <v>#REF!</v>
      </c>
      <c r="FZ20" s="34" t="e">
        <f>AND(#REF!,"AAAAAGf7tbU=")</f>
        <v>#REF!</v>
      </c>
      <c r="GA20" s="34" t="e">
        <f>AND(#REF!,"AAAAAGf7tbY=")</f>
        <v>#REF!</v>
      </c>
      <c r="GB20" s="34" t="e">
        <f>AND(#REF!,"AAAAAGf7tbc=")</f>
        <v>#REF!</v>
      </c>
      <c r="GC20" s="34" t="e">
        <f>AND(#REF!,"AAAAAGf7tbg=")</f>
        <v>#REF!</v>
      </c>
      <c r="GD20" s="34" t="e">
        <f>AND(#REF!,"AAAAAGf7tbk=")</f>
        <v>#REF!</v>
      </c>
      <c r="GE20" s="34" t="e">
        <f>AND(#REF!,"AAAAAGf7tbo=")</f>
        <v>#REF!</v>
      </c>
      <c r="GF20" s="34" t="e">
        <f>AND(#REF!,"AAAAAGf7tbs=")</f>
        <v>#REF!</v>
      </c>
      <c r="GG20" s="34" t="e">
        <f>AND(#REF!,"AAAAAGf7tbw=")</f>
        <v>#REF!</v>
      </c>
      <c r="GH20" s="34" t="e">
        <f>AND(#REF!,"AAAAAGf7tb0=")</f>
        <v>#REF!</v>
      </c>
      <c r="GI20" s="34" t="e">
        <f>AND(#REF!,"AAAAAGf7tb4=")</f>
        <v>#REF!</v>
      </c>
      <c r="GJ20" s="34" t="e">
        <f>AND(#REF!,"AAAAAGf7tb8=")</f>
        <v>#REF!</v>
      </c>
      <c r="GK20" s="34" t="e">
        <f>AND(#REF!,"AAAAAGf7tcA=")</f>
        <v>#REF!</v>
      </c>
      <c r="GL20" s="34" t="e">
        <f>AND(#REF!,"AAAAAGf7tcE=")</f>
        <v>#REF!</v>
      </c>
      <c r="GM20" s="34" t="e">
        <f>AND(#REF!,"AAAAAGf7tcI=")</f>
        <v>#REF!</v>
      </c>
      <c r="GN20" s="34" t="e">
        <f>AND(#REF!,"AAAAAGf7tcM=")</f>
        <v>#REF!</v>
      </c>
      <c r="GO20" s="34" t="e">
        <f>AND(#REF!,"AAAAAGf7tcQ=")</f>
        <v>#REF!</v>
      </c>
      <c r="GP20" s="34" t="e">
        <f>AND(#REF!,"AAAAAGf7tcU=")</f>
        <v>#REF!</v>
      </c>
      <c r="GQ20" s="34" t="e">
        <f>IF(#REF!,"AAAAAGf7tcY=",0)</f>
        <v>#REF!</v>
      </c>
      <c r="GR20" s="34" t="e">
        <f>AND(#REF!,"AAAAAGf7tcc=")</f>
        <v>#REF!</v>
      </c>
      <c r="GS20" s="34" t="e">
        <f>AND(#REF!,"AAAAAGf7tcg=")</f>
        <v>#REF!</v>
      </c>
      <c r="GT20" s="34" t="e">
        <f>AND(#REF!,"AAAAAGf7tck=")</f>
        <v>#REF!</v>
      </c>
      <c r="GU20" s="34" t="e">
        <f>AND(#REF!,"AAAAAGf7tco=")</f>
        <v>#REF!</v>
      </c>
      <c r="GV20" s="34" t="e">
        <f>AND(#REF!,"AAAAAGf7tcs=")</f>
        <v>#REF!</v>
      </c>
      <c r="GW20" s="34" t="e">
        <f>AND(#REF!,"AAAAAGf7tcw=")</f>
        <v>#REF!</v>
      </c>
      <c r="GX20" s="34" t="e">
        <f>AND(#REF!,"AAAAAGf7tc0=")</f>
        <v>#REF!</v>
      </c>
      <c r="GY20" s="34" t="e">
        <f>AND(#REF!,"AAAAAGf7tc4=")</f>
        <v>#REF!</v>
      </c>
      <c r="GZ20" s="34" t="e">
        <f>AND(#REF!,"AAAAAGf7tc8=")</f>
        <v>#REF!</v>
      </c>
      <c r="HA20" s="34" t="e">
        <f>AND(#REF!,"AAAAAGf7tdA=")</f>
        <v>#REF!</v>
      </c>
      <c r="HB20" s="34" t="e">
        <f>AND(#REF!,"AAAAAGf7tdE=")</f>
        <v>#REF!</v>
      </c>
      <c r="HC20" s="34" t="e">
        <f>AND(#REF!,"AAAAAGf7tdI=")</f>
        <v>#REF!</v>
      </c>
      <c r="HD20" s="34" t="e">
        <f>AND(#REF!,"AAAAAGf7tdM=")</f>
        <v>#REF!</v>
      </c>
      <c r="HE20" s="34" t="e">
        <f>AND(#REF!,"AAAAAGf7tdQ=")</f>
        <v>#REF!</v>
      </c>
      <c r="HF20" s="34" t="e">
        <f>AND(#REF!,"AAAAAGf7tdU=")</f>
        <v>#REF!</v>
      </c>
      <c r="HG20" s="34" t="e">
        <f>AND(#REF!,"AAAAAGf7tdY=")</f>
        <v>#REF!</v>
      </c>
      <c r="HH20" s="34" t="e">
        <f>AND(#REF!,"AAAAAGf7tdc=")</f>
        <v>#REF!</v>
      </c>
      <c r="HI20" s="34" t="e">
        <f>AND(#REF!,"AAAAAGf7tdg=")</f>
        <v>#REF!</v>
      </c>
      <c r="HJ20" s="34" t="e">
        <f>AND(#REF!,"AAAAAGf7tdk=")</f>
        <v>#REF!</v>
      </c>
      <c r="HK20" s="34" t="e">
        <f>AND(#REF!,"AAAAAGf7tdo=")</f>
        <v>#REF!</v>
      </c>
      <c r="HL20" s="34" t="e">
        <f>AND(#REF!,"AAAAAGf7tds=")</f>
        <v>#REF!</v>
      </c>
      <c r="HM20" s="34" t="e">
        <f>AND(#REF!,"AAAAAGf7tdw=")</f>
        <v>#REF!</v>
      </c>
      <c r="HN20" s="34" t="e">
        <f>AND(#REF!,"AAAAAGf7td0=")</f>
        <v>#REF!</v>
      </c>
      <c r="HO20" s="34" t="e">
        <f>AND(#REF!,"AAAAAGf7td4=")</f>
        <v>#REF!</v>
      </c>
      <c r="HP20" s="34" t="e">
        <f>AND(#REF!,"AAAAAGf7td8=")</f>
        <v>#REF!</v>
      </c>
      <c r="HQ20" s="34" t="e">
        <f>AND(#REF!,"AAAAAGf7teA=")</f>
        <v>#REF!</v>
      </c>
      <c r="HR20" s="34" t="e">
        <f>AND(#REF!,"AAAAAGf7teE=")</f>
        <v>#REF!</v>
      </c>
      <c r="HS20" s="34" t="e">
        <f>AND(#REF!,"AAAAAGf7teI=")</f>
        <v>#REF!</v>
      </c>
      <c r="HT20" s="34" t="e">
        <f>AND(#REF!,"AAAAAGf7teM=")</f>
        <v>#REF!</v>
      </c>
      <c r="HU20" s="34" t="e">
        <f>AND(#REF!,"AAAAAGf7teQ=")</f>
        <v>#REF!</v>
      </c>
      <c r="HV20" s="34" t="e">
        <f>AND(#REF!,"AAAAAGf7teU=")</f>
        <v>#REF!</v>
      </c>
      <c r="HW20" s="34" t="e">
        <f>AND(#REF!,"AAAAAGf7teY=")</f>
        <v>#REF!</v>
      </c>
      <c r="HX20" s="34" t="e">
        <f>AND(#REF!,"AAAAAGf7tec=")</f>
        <v>#REF!</v>
      </c>
      <c r="HY20" s="34" t="e">
        <f>AND(#REF!,"AAAAAGf7teg=")</f>
        <v>#REF!</v>
      </c>
      <c r="HZ20" s="34" t="e">
        <f>AND(#REF!,"AAAAAGf7tek=")</f>
        <v>#REF!</v>
      </c>
      <c r="IA20" s="34" t="e">
        <f>AND(#REF!,"AAAAAGf7teo=")</f>
        <v>#REF!</v>
      </c>
      <c r="IB20" s="34" t="e">
        <f>AND(#REF!,"AAAAAGf7tes=")</f>
        <v>#REF!</v>
      </c>
      <c r="IC20" s="34" t="e">
        <f>AND(#REF!,"AAAAAGf7tew=")</f>
        <v>#REF!</v>
      </c>
      <c r="ID20" s="34" t="e">
        <f>AND(#REF!,"AAAAAGf7te0=")</f>
        <v>#REF!</v>
      </c>
      <c r="IE20" s="34" t="e">
        <f>AND(#REF!,"AAAAAGf7te4=")</f>
        <v>#REF!</v>
      </c>
      <c r="IF20" s="34" t="e">
        <f>AND(#REF!,"AAAAAGf7te8=")</f>
        <v>#REF!</v>
      </c>
      <c r="IG20" s="34" t="e">
        <f>AND(#REF!,"AAAAAGf7tfA=")</f>
        <v>#REF!</v>
      </c>
      <c r="IH20" s="34" t="e">
        <f>AND(#REF!,"AAAAAGf7tfE=")</f>
        <v>#REF!</v>
      </c>
      <c r="II20" s="34" t="e">
        <f>AND(#REF!,"AAAAAGf7tfI=")</f>
        <v>#REF!</v>
      </c>
      <c r="IJ20" s="34" t="e">
        <f>AND(#REF!,"AAAAAGf7tfM=")</f>
        <v>#REF!</v>
      </c>
      <c r="IK20" s="34" t="e">
        <f>AND(#REF!,"AAAAAGf7tfQ=")</f>
        <v>#REF!</v>
      </c>
      <c r="IL20" s="34" t="e">
        <f>AND(#REF!,"AAAAAGf7tfU=")</f>
        <v>#REF!</v>
      </c>
      <c r="IM20" s="34" t="e">
        <f>AND(#REF!,"AAAAAGf7tfY=")</f>
        <v>#REF!</v>
      </c>
      <c r="IN20" s="34" t="e">
        <f>AND(#REF!,"AAAAAGf7tfc=")</f>
        <v>#REF!</v>
      </c>
      <c r="IO20" s="34" t="e">
        <f>AND(#REF!,"AAAAAGf7tfg=")</f>
        <v>#REF!</v>
      </c>
      <c r="IP20" s="34" t="e">
        <f>AND(#REF!,"AAAAAGf7tfk=")</f>
        <v>#REF!</v>
      </c>
      <c r="IQ20" s="34" t="e">
        <f>AND(#REF!,"AAAAAGf7tfo=")</f>
        <v>#REF!</v>
      </c>
      <c r="IR20" s="34" t="e">
        <f>AND(#REF!,"AAAAAGf7tfs=")</f>
        <v>#REF!</v>
      </c>
      <c r="IS20" s="34" t="e">
        <f>AND(#REF!,"AAAAAGf7tfw=")</f>
        <v>#REF!</v>
      </c>
      <c r="IT20" s="34" t="e">
        <f>AND(#REF!,"AAAAAGf7tf0=")</f>
        <v>#REF!</v>
      </c>
      <c r="IU20" s="34" t="e">
        <f>AND(#REF!,"AAAAAGf7tf4=")</f>
        <v>#REF!</v>
      </c>
      <c r="IV20" s="34" t="e">
        <f>AND(#REF!,"AAAAAGf7tf8=")</f>
        <v>#REF!</v>
      </c>
    </row>
    <row r="21" spans="1:256" ht="12.75" customHeight="1" x14ac:dyDescent="0.2">
      <c r="A21" s="34" t="e">
        <f>AND(#REF!,"AAAAAB38uwA=")</f>
        <v>#REF!</v>
      </c>
      <c r="B21" s="34" t="e">
        <f>AND(#REF!,"AAAAAB38uwE=")</f>
        <v>#REF!</v>
      </c>
      <c r="C21" s="34" t="e">
        <f>AND(#REF!,"AAAAAB38uwI=")</f>
        <v>#REF!</v>
      </c>
      <c r="D21" s="34" t="e">
        <f>AND(#REF!,"AAAAAB38uwM=")</f>
        <v>#REF!</v>
      </c>
      <c r="E21" s="34" t="e">
        <f>AND(#REF!,"AAAAAB38uwQ=")</f>
        <v>#REF!</v>
      </c>
      <c r="F21" s="34" t="e">
        <f>AND(#REF!,"AAAAAB38uwU=")</f>
        <v>#REF!</v>
      </c>
      <c r="G21" s="34" t="e">
        <f>AND(#REF!,"AAAAAB38uwY=")</f>
        <v>#REF!</v>
      </c>
      <c r="H21" s="34" t="e">
        <f>AND(#REF!,"AAAAAB38uwc=")</f>
        <v>#REF!</v>
      </c>
      <c r="I21" s="34" t="e">
        <f>AND(#REF!,"AAAAAB38uwg=")</f>
        <v>#REF!</v>
      </c>
      <c r="J21" s="34" t="e">
        <f>AND(#REF!,"AAAAAB38uwk=")</f>
        <v>#REF!</v>
      </c>
      <c r="K21" s="34" t="e">
        <f>AND(#REF!,"AAAAAB38uwo=")</f>
        <v>#REF!</v>
      </c>
      <c r="L21" s="34" t="e">
        <f>AND(#REF!,"AAAAAB38uws=")</f>
        <v>#REF!</v>
      </c>
      <c r="M21" s="34" t="e">
        <f>AND(#REF!,"AAAAAB38uww=")</f>
        <v>#REF!</v>
      </c>
      <c r="N21" s="34" t="e">
        <f>AND(#REF!,"AAAAAB38uw0=")</f>
        <v>#REF!</v>
      </c>
      <c r="O21" s="34" t="e">
        <f>AND(#REF!,"AAAAAB38uw4=")</f>
        <v>#REF!</v>
      </c>
      <c r="P21" s="34" t="e">
        <f>IF(#REF!,"AAAAAB38uw8=",0)</f>
        <v>#REF!</v>
      </c>
      <c r="Q21" s="34" t="e">
        <f>AND(#REF!,"AAAAAB38uxA=")</f>
        <v>#REF!</v>
      </c>
      <c r="R21" s="34" t="e">
        <f>AND(#REF!,"AAAAAB38uxE=")</f>
        <v>#REF!</v>
      </c>
      <c r="S21" s="34" t="e">
        <f>AND(#REF!,"AAAAAB38uxI=")</f>
        <v>#REF!</v>
      </c>
      <c r="T21" s="34" t="e">
        <f>AND(#REF!,"AAAAAB38uxM=")</f>
        <v>#REF!</v>
      </c>
      <c r="U21" s="34" t="e">
        <f>AND(#REF!,"AAAAAB38uxQ=")</f>
        <v>#REF!</v>
      </c>
      <c r="V21" s="34" t="e">
        <f>AND(#REF!,"AAAAAB38uxU=")</f>
        <v>#REF!</v>
      </c>
      <c r="W21" s="34" t="e">
        <f>AND(#REF!,"AAAAAB38uxY=")</f>
        <v>#REF!</v>
      </c>
      <c r="X21" s="34" t="e">
        <f>AND(#REF!,"AAAAAB38uxc=")</f>
        <v>#REF!</v>
      </c>
      <c r="Y21" s="34" t="e">
        <f>AND(#REF!,"AAAAAB38uxg=")</f>
        <v>#REF!</v>
      </c>
      <c r="Z21" s="34" t="e">
        <f>AND(#REF!,"AAAAAB38uxk=")</f>
        <v>#REF!</v>
      </c>
      <c r="AA21" s="34" t="e">
        <f>AND(#REF!,"AAAAAB38uxo=")</f>
        <v>#REF!</v>
      </c>
      <c r="AB21" s="34" t="e">
        <f>AND(#REF!,"AAAAAB38uxs=")</f>
        <v>#REF!</v>
      </c>
      <c r="AC21" s="34" t="e">
        <f>AND(#REF!,"AAAAAB38uxw=")</f>
        <v>#REF!</v>
      </c>
      <c r="AD21" s="34" t="e">
        <f>AND(#REF!,"AAAAAB38ux0=")</f>
        <v>#REF!</v>
      </c>
      <c r="AE21" s="34" t="e">
        <f>AND(#REF!,"AAAAAB38ux4=")</f>
        <v>#REF!</v>
      </c>
      <c r="AF21" s="34" t="e">
        <f>AND(#REF!,"AAAAAB38ux8=")</f>
        <v>#REF!</v>
      </c>
      <c r="AG21" s="34" t="e">
        <f>AND(#REF!,"AAAAAB38uyA=")</f>
        <v>#REF!</v>
      </c>
      <c r="AH21" s="34" t="e">
        <f>AND(#REF!,"AAAAAB38uyE=")</f>
        <v>#REF!</v>
      </c>
      <c r="AI21" s="34" t="e">
        <f>AND(#REF!,"AAAAAB38uyI=")</f>
        <v>#REF!</v>
      </c>
      <c r="AJ21" s="34" t="e">
        <f>AND(#REF!,"AAAAAB38uyM=")</f>
        <v>#REF!</v>
      </c>
      <c r="AK21" s="34" t="e">
        <f>AND(#REF!,"AAAAAB38uyQ=")</f>
        <v>#REF!</v>
      </c>
      <c r="AL21" s="34" t="e">
        <f>AND(#REF!,"AAAAAB38uyU=")</f>
        <v>#REF!</v>
      </c>
      <c r="AM21" s="34" t="e">
        <f>AND(#REF!,"AAAAAB38uyY=")</f>
        <v>#REF!</v>
      </c>
      <c r="AN21" s="34" t="e">
        <f>AND(#REF!,"AAAAAB38uyc=")</f>
        <v>#REF!</v>
      </c>
      <c r="AO21" s="34" t="e">
        <f>AND(#REF!,"AAAAAB38uyg=")</f>
        <v>#REF!</v>
      </c>
      <c r="AP21" s="34" t="e">
        <f>AND(#REF!,"AAAAAB38uyk=")</f>
        <v>#REF!</v>
      </c>
      <c r="AQ21" s="34" t="e">
        <f>AND(#REF!,"AAAAAB38uyo=")</f>
        <v>#REF!</v>
      </c>
      <c r="AR21" s="34" t="e">
        <f>AND(#REF!,"AAAAAB38uys=")</f>
        <v>#REF!</v>
      </c>
      <c r="AS21" s="34" t="e">
        <f>AND(#REF!,"AAAAAB38uyw=")</f>
        <v>#REF!</v>
      </c>
      <c r="AT21" s="34" t="e">
        <f>AND(#REF!,"AAAAAB38uy0=")</f>
        <v>#REF!</v>
      </c>
      <c r="AU21" s="34" t="e">
        <f>AND(#REF!,"AAAAAB38uy4=")</f>
        <v>#REF!</v>
      </c>
      <c r="AV21" s="34" t="e">
        <f>AND(#REF!,"AAAAAB38uy8=")</f>
        <v>#REF!</v>
      </c>
      <c r="AW21" s="34" t="e">
        <f>AND(#REF!,"AAAAAB38uzA=")</f>
        <v>#REF!</v>
      </c>
      <c r="AX21" s="34" t="e">
        <f>AND(#REF!,"AAAAAB38uzE=")</f>
        <v>#REF!</v>
      </c>
      <c r="AY21" s="34" t="e">
        <f>AND(#REF!,"AAAAAB38uzI=")</f>
        <v>#REF!</v>
      </c>
      <c r="AZ21" s="34" t="e">
        <f>AND(#REF!,"AAAAAB38uzM=")</f>
        <v>#REF!</v>
      </c>
      <c r="BA21" s="34" t="e">
        <f>AND(#REF!,"AAAAAB38uzQ=")</f>
        <v>#REF!</v>
      </c>
      <c r="BB21" s="34" t="e">
        <f>AND(#REF!,"AAAAAB38uzU=")</f>
        <v>#REF!</v>
      </c>
      <c r="BC21" s="34" t="e">
        <f>AND(#REF!,"AAAAAB38uzY=")</f>
        <v>#REF!</v>
      </c>
      <c r="BD21" s="34" t="e">
        <f>AND(#REF!,"AAAAAB38uzc=")</f>
        <v>#REF!</v>
      </c>
      <c r="BE21" s="34" t="e">
        <f>AND(#REF!,"AAAAAB38uzg=")</f>
        <v>#REF!</v>
      </c>
      <c r="BF21" s="34" t="e">
        <f>AND(#REF!,"AAAAAB38uzk=")</f>
        <v>#REF!</v>
      </c>
      <c r="BG21" s="34" t="e">
        <f>AND(#REF!,"AAAAAB38uzo=")</f>
        <v>#REF!</v>
      </c>
      <c r="BH21" s="34" t="e">
        <f>AND(#REF!,"AAAAAB38uzs=")</f>
        <v>#REF!</v>
      </c>
      <c r="BI21" s="34" t="e">
        <f>AND(#REF!,"AAAAAB38uzw=")</f>
        <v>#REF!</v>
      </c>
      <c r="BJ21" s="34" t="e">
        <f>AND(#REF!,"AAAAAB38uz0=")</f>
        <v>#REF!</v>
      </c>
      <c r="BK21" s="34" t="e">
        <f>AND(#REF!,"AAAAAB38uz4=")</f>
        <v>#REF!</v>
      </c>
      <c r="BL21" s="34" t="e">
        <f>AND(#REF!,"AAAAAB38uz8=")</f>
        <v>#REF!</v>
      </c>
      <c r="BM21" s="34" t="e">
        <f>AND(#REF!,"AAAAAB38u0A=")</f>
        <v>#REF!</v>
      </c>
      <c r="BN21" s="34" t="e">
        <f>AND(#REF!,"AAAAAB38u0E=")</f>
        <v>#REF!</v>
      </c>
      <c r="BO21" s="34" t="e">
        <f>AND(#REF!,"AAAAAB38u0I=")</f>
        <v>#REF!</v>
      </c>
      <c r="BP21" s="34" t="e">
        <f>AND(#REF!,"AAAAAB38u0M=")</f>
        <v>#REF!</v>
      </c>
      <c r="BQ21" s="34" t="e">
        <f>AND(#REF!,"AAAAAB38u0Q=")</f>
        <v>#REF!</v>
      </c>
      <c r="BR21" s="34" t="e">
        <f>AND(#REF!,"AAAAAB38u0U=")</f>
        <v>#REF!</v>
      </c>
      <c r="BS21" s="34" t="e">
        <f>AND(#REF!,"AAAAAB38u0Y=")</f>
        <v>#REF!</v>
      </c>
      <c r="BT21" s="34" t="e">
        <f>AND(#REF!,"AAAAAB38u0c=")</f>
        <v>#REF!</v>
      </c>
      <c r="BU21" s="34" t="e">
        <f>AND(#REF!,"AAAAAB38u0g=")</f>
        <v>#REF!</v>
      </c>
      <c r="BV21" s="34" t="e">
        <f>AND(#REF!,"AAAAAB38u0k=")</f>
        <v>#REF!</v>
      </c>
      <c r="BW21" s="34" t="e">
        <f>AND(#REF!,"AAAAAB38u0o=")</f>
        <v>#REF!</v>
      </c>
      <c r="BX21" s="34" t="e">
        <f>AND(#REF!,"AAAAAB38u0s=")</f>
        <v>#REF!</v>
      </c>
      <c r="BY21" s="34" t="e">
        <f>AND(#REF!,"AAAAAB38u0w=")</f>
        <v>#REF!</v>
      </c>
      <c r="BZ21" s="34" t="e">
        <f>AND(#REF!,"AAAAAB38u00=")</f>
        <v>#REF!</v>
      </c>
      <c r="CA21" s="34" t="e">
        <f>AND(#REF!,"AAAAAB38u04=")</f>
        <v>#REF!</v>
      </c>
      <c r="CB21" s="34" t="e">
        <f>AND(#REF!,"AAAAAB38u08=")</f>
        <v>#REF!</v>
      </c>
      <c r="CC21" s="34" t="e">
        <f>AND(#REF!,"AAAAAB38u1A=")</f>
        <v>#REF!</v>
      </c>
      <c r="CD21" s="34" t="e">
        <f>AND(#REF!,"AAAAAB38u1E=")</f>
        <v>#REF!</v>
      </c>
      <c r="CE21" s="34" t="e">
        <f>AND(#REF!,"AAAAAB38u1I=")</f>
        <v>#REF!</v>
      </c>
      <c r="CF21" s="34" t="e">
        <f>AND(#REF!,"AAAAAB38u1M=")</f>
        <v>#REF!</v>
      </c>
      <c r="CG21" s="34" t="e">
        <f>AND(#REF!,"AAAAAB38u1Q=")</f>
        <v>#REF!</v>
      </c>
      <c r="CH21" s="34" t="e">
        <f>AND(#REF!,"AAAAAB38u1U=")</f>
        <v>#REF!</v>
      </c>
      <c r="CI21" s="34" t="e">
        <f>AND(#REF!,"AAAAAB38u1Y=")</f>
        <v>#REF!</v>
      </c>
      <c r="CJ21" s="34" t="e">
        <f>AND(#REF!,"AAAAAB38u1c=")</f>
        <v>#REF!</v>
      </c>
      <c r="CK21" s="34" t="e">
        <f>IF(#REF!,"AAAAAB38u1g=",0)</f>
        <v>#REF!</v>
      </c>
      <c r="CL21" s="34" t="e">
        <f>AND(#REF!,"AAAAAB38u1k=")</f>
        <v>#REF!</v>
      </c>
      <c r="CM21" s="34" t="e">
        <f>AND(#REF!,"AAAAAB38u1o=")</f>
        <v>#REF!</v>
      </c>
      <c r="CN21" s="34" t="e">
        <f>AND(#REF!,"AAAAAB38u1s=")</f>
        <v>#REF!</v>
      </c>
      <c r="CO21" s="34" t="e">
        <f>AND(#REF!,"AAAAAB38u1w=")</f>
        <v>#REF!</v>
      </c>
      <c r="CP21" s="34" t="e">
        <f>AND(#REF!,"AAAAAB38u10=")</f>
        <v>#REF!</v>
      </c>
      <c r="CQ21" s="34" t="e">
        <f>AND(#REF!,"AAAAAB38u14=")</f>
        <v>#REF!</v>
      </c>
      <c r="CR21" s="34" t="e">
        <f>AND(#REF!,"AAAAAB38u18=")</f>
        <v>#REF!</v>
      </c>
      <c r="CS21" s="34" t="e">
        <f>AND(#REF!,"AAAAAB38u2A=")</f>
        <v>#REF!</v>
      </c>
      <c r="CT21" s="34" t="e">
        <f>AND(#REF!,"AAAAAB38u2E=")</f>
        <v>#REF!</v>
      </c>
      <c r="CU21" s="34" t="e">
        <f>AND(#REF!,"AAAAAB38u2I=")</f>
        <v>#REF!</v>
      </c>
      <c r="CV21" s="34" t="e">
        <f>AND(#REF!,"AAAAAB38u2M=")</f>
        <v>#REF!</v>
      </c>
      <c r="CW21" s="34" t="e">
        <f>AND(#REF!,"AAAAAB38u2Q=")</f>
        <v>#REF!</v>
      </c>
      <c r="CX21" s="34" t="e">
        <f>AND(#REF!,"AAAAAB38u2U=")</f>
        <v>#REF!</v>
      </c>
      <c r="CY21" s="34" t="e">
        <f>AND(#REF!,"AAAAAB38u2Y=")</f>
        <v>#REF!</v>
      </c>
      <c r="CZ21" s="34" t="e">
        <f>AND(#REF!,"AAAAAB38u2c=")</f>
        <v>#REF!</v>
      </c>
      <c r="DA21" s="34" t="e">
        <f>AND(#REF!,"AAAAAB38u2g=")</f>
        <v>#REF!</v>
      </c>
      <c r="DB21" s="34" t="e">
        <f>AND(#REF!,"AAAAAB38u2k=")</f>
        <v>#REF!</v>
      </c>
      <c r="DC21" s="34" t="e">
        <f>AND(#REF!,"AAAAAB38u2o=")</f>
        <v>#REF!</v>
      </c>
      <c r="DD21" s="34" t="e">
        <f>AND(#REF!,"AAAAAB38u2s=")</f>
        <v>#REF!</v>
      </c>
      <c r="DE21" s="34" t="e">
        <f>AND(#REF!,"AAAAAB38u2w=")</f>
        <v>#REF!</v>
      </c>
      <c r="DF21" s="34" t="e">
        <f>AND(#REF!,"AAAAAB38u20=")</f>
        <v>#REF!</v>
      </c>
      <c r="DG21" s="34" t="e">
        <f>AND(#REF!,"AAAAAB38u24=")</f>
        <v>#REF!</v>
      </c>
      <c r="DH21" s="34" t="e">
        <f>AND(#REF!,"AAAAAB38u28=")</f>
        <v>#REF!</v>
      </c>
      <c r="DI21" s="34" t="e">
        <f>AND(#REF!,"AAAAAB38u3A=")</f>
        <v>#REF!</v>
      </c>
      <c r="DJ21" s="34" t="e">
        <f>AND(#REF!,"AAAAAB38u3E=")</f>
        <v>#REF!</v>
      </c>
      <c r="DK21" s="34" t="e">
        <f>AND(#REF!,"AAAAAB38u3I=")</f>
        <v>#REF!</v>
      </c>
      <c r="DL21" s="34" t="e">
        <f>AND(#REF!,"AAAAAB38u3M=")</f>
        <v>#REF!</v>
      </c>
      <c r="DM21" s="34" t="e">
        <f>AND(#REF!,"AAAAAB38u3Q=")</f>
        <v>#REF!</v>
      </c>
      <c r="DN21" s="34" t="e">
        <f>AND(#REF!,"AAAAAB38u3U=")</f>
        <v>#REF!</v>
      </c>
      <c r="DO21" s="34" t="e">
        <f>AND(#REF!,"AAAAAB38u3Y=")</f>
        <v>#REF!</v>
      </c>
      <c r="DP21" s="34" t="e">
        <f>AND(#REF!,"AAAAAB38u3c=")</f>
        <v>#REF!</v>
      </c>
      <c r="DQ21" s="34" t="e">
        <f>AND(#REF!,"AAAAAB38u3g=")</f>
        <v>#REF!</v>
      </c>
      <c r="DR21" s="34" t="e">
        <f>AND(#REF!,"AAAAAB38u3k=")</f>
        <v>#REF!</v>
      </c>
      <c r="DS21" s="34" t="e">
        <f>AND(#REF!,"AAAAAB38u3o=")</f>
        <v>#REF!</v>
      </c>
      <c r="DT21" s="34" t="e">
        <f>AND(#REF!,"AAAAAB38u3s=")</f>
        <v>#REF!</v>
      </c>
      <c r="DU21" s="34" t="e">
        <f>AND(#REF!,"AAAAAB38u3w=")</f>
        <v>#REF!</v>
      </c>
      <c r="DV21" s="34" t="e">
        <f>AND(#REF!,"AAAAAB38u30=")</f>
        <v>#REF!</v>
      </c>
      <c r="DW21" s="34" t="e">
        <f>AND(#REF!,"AAAAAB38u34=")</f>
        <v>#REF!</v>
      </c>
      <c r="DX21" s="34" t="e">
        <f>AND(#REF!,"AAAAAB38u38=")</f>
        <v>#REF!</v>
      </c>
      <c r="DY21" s="34" t="e">
        <f>AND(#REF!,"AAAAAB38u4A=")</f>
        <v>#REF!</v>
      </c>
      <c r="DZ21" s="34" t="e">
        <f>AND(#REF!,"AAAAAB38u4E=")</f>
        <v>#REF!</v>
      </c>
      <c r="EA21" s="34" t="e">
        <f>AND(#REF!,"AAAAAB38u4I=")</f>
        <v>#REF!</v>
      </c>
      <c r="EB21" s="34" t="e">
        <f>AND(#REF!,"AAAAAB38u4M=")</f>
        <v>#REF!</v>
      </c>
      <c r="EC21" s="34" t="e">
        <f>AND(#REF!,"AAAAAB38u4Q=")</f>
        <v>#REF!</v>
      </c>
      <c r="ED21" s="34" t="e">
        <f>AND(#REF!,"AAAAAB38u4U=")</f>
        <v>#REF!</v>
      </c>
      <c r="EE21" s="34" t="e">
        <f>AND(#REF!,"AAAAAB38u4Y=")</f>
        <v>#REF!</v>
      </c>
      <c r="EF21" s="34" t="e">
        <f>AND(#REF!,"AAAAAB38u4c=")</f>
        <v>#REF!</v>
      </c>
      <c r="EG21" s="34" t="e">
        <f>AND(#REF!,"AAAAAB38u4g=")</f>
        <v>#REF!</v>
      </c>
      <c r="EH21" s="34" t="e">
        <f>AND(#REF!,"AAAAAB38u4k=")</f>
        <v>#REF!</v>
      </c>
      <c r="EI21" s="34" t="e">
        <f>AND(#REF!,"AAAAAB38u4o=")</f>
        <v>#REF!</v>
      </c>
      <c r="EJ21" s="34" t="e">
        <f>AND(#REF!,"AAAAAB38u4s=")</f>
        <v>#REF!</v>
      </c>
      <c r="EK21" s="34" t="e">
        <f>AND(#REF!,"AAAAAB38u4w=")</f>
        <v>#REF!</v>
      </c>
      <c r="EL21" s="34" t="e">
        <f>AND(#REF!,"AAAAAB38u40=")</f>
        <v>#REF!</v>
      </c>
      <c r="EM21" s="34" t="e">
        <f>AND(#REF!,"AAAAAB38u44=")</f>
        <v>#REF!</v>
      </c>
      <c r="EN21" s="34" t="e">
        <f>AND(#REF!,"AAAAAB38u48=")</f>
        <v>#REF!</v>
      </c>
      <c r="EO21" s="34" t="e">
        <f>AND(#REF!,"AAAAAB38u5A=")</f>
        <v>#REF!</v>
      </c>
      <c r="EP21" s="34" t="e">
        <f>AND(#REF!,"AAAAAB38u5E=")</f>
        <v>#REF!</v>
      </c>
      <c r="EQ21" s="34" t="e">
        <f>AND(#REF!,"AAAAAB38u5I=")</f>
        <v>#REF!</v>
      </c>
      <c r="ER21" s="34" t="e">
        <f>AND(#REF!,"AAAAAB38u5M=")</f>
        <v>#REF!</v>
      </c>
      <c r="ES21" s="34" t="e">
        <f>AND(#REF!,"AAAAAB38u5Q=")</f>
        <v>#REF!</v>
      </c>
      <c r="ET21" s="34" t="e">
        <f>AND(#REF!,"AAAAAB38u5U=")</f>
        <v>#REF!</v>
      </c>
      <c r="EU21" s="34" t="e">
        <f>AND(#REF!,"AAAAAB38u5Y=")</f>
        <v>#REF!</v>
      </c>
      <c r="EV21" s="34" t="e">
        <f>AND(#REF!,"AAAAAB38u5c=")</f>
        <v>#REF!</v>
      </c>
      <c r="EW21" s="34" t="e">
        <f>AND(#REF!,"AAAAAB38u5g=")</f>
        <v>#REF!</v>
      </c>
      <c r="EX21" s="34" t="e">
        <f>AND(#REF!,"AAAAAB38u5k=")</f>
        <v>#REF!</v>
      </c>
      <c r="EY21" s="34" t="e">
        <f>AND(#REF!,"AAAAAB38u5o=")</f>
        <v>#REF!</v>
      </c>
      <c r="EZ21" s="34" t="e">
        <f>AND(#REF!,"AAAAAB38u5s=")</f>
        <v>#REF!</v>
      </c>
      <c r="FA21" s="34" t="e">
        <f>AND(#REF!,"AAAAAB38u5w=")</f>
        <v>#REF!</v>
      </c>
      <c r="FB21" s="34" t="e">
        <f>AND(#REF!,"AAAAAB38u50=")</f>
        <v>#REF!</v>
      </c>
      <c r="FC21" s="34" t="e">
        <f>AND(#REF!,"AAAAAB38u54=")</f>
        <v>#REF!</v>
      </c>
      <c r="FD21" s="34" t="e">
        <f>AND(#REF!,"AAAAAB38u58=")</f>
        <v>#REF!</v>
      </c>
      <c r="FE21" s="34" t="e">
        <f>AND(#REF!,"AAAAAB38u6A=")</f>
        <v>#REF!</v>
      </c>
      <c r="FF21" s="34" t="e">
        <f>IF(#REF!,"AAAAAB38u6E=",0)</f>
        <v>#REF!</v>
      </c>
      <c r="FG21" s="34" t="e">
        <f>AND(#REF!,"AAAAAB38u6I=")</f>
        <v>#REF!</v>
      </c>
      <c r="FH21" s="34" t="e">
        <f>AND(#REF!,"AAAAAB38u6M=")</f>
        <v>#REF!</v>
      </c>
      <c r="FI21" s="34" t="e">
        <f>AND(#REF!,"AAAAAB38u6Q=")</f>
        <v>#REF!</v>
      </c>
      <c r="FJ21" s="34" t="e">
        <f>AND(#REF!,"AAAAAB38u6U=")</f>
        <v>#REF!</v>
      </c>
      <c r="FK21" s="34" t="e">
        <f>AND(#REF!,"AAAAAB38u6Y=")</f>
        <v>#REF!</v>
      </c>
      <c r="FL21" s="34" t="e">
        <f>AND(#REF!,"AAAAAB38u6c=")</f>
        <v>#REF!</v>
      </c>
      <c r="FM21" s="34" t="e">
        <f>AND(#REF!,"AAAAAB38u6g=")</f>
        <v>#REF!</v>
      </c>
      <c r="FN21" s="34" t="e">
        <f>AND(#REF!,"AAAAAB38u6k=")</f>
        <v>#REF!</v>
      </c>
      <c r="FO21" s="34" t="e">
        <f>AND(#REF!,"AAAAAB38u6o=")</f>
        <v>#REF!</v>
      </c>
      <c r="FP21" s="34" t="e">
        <f>AND(#REF!,"AAAAAB38u6s=")</f>
        <v>#REF!</v>
      </c>
      <c r="FQ21" s="34" t="e">
        <f>AND(#REF!,"AAAAAB38u6w=")</f>
        <v>#REF!</v>
      </c>
      <c r="FR21" s="34" t="e">
        <f>AND(#REF!,"AAAAAB38u60=")</f>
        <v>#REF!</v>
      </c>
      <c r="FS21" s="34" t="e">
        <f>AND(#REF!,"AAAAAB38u64=")</f>
        <v>#REF!</v>
      </c>
      <c r="FT21" s="34" t="e">
        <f>AND(#REF!,"AAAAAB38u68=")</f>
        <v>#REF!</v>
      </c>
      <c r="FU21" s="34" t="e">
        <f>AND(#REF!,"AAAAAB38u7A=")</f>
        <v>#REF!</v>
      </c>
      <c r="FV21" s="34" t="e">
        <f>AND(#REF!,"AAAAAB38u7E=")</f>
        <v>#REF!</v>
      </c>
      <c r="FW21" s="34" t="e">
        <f>AND(#REF!,"AAAAAB38u7I=")</f>
        <v>#REF!</v>
      </c>
      <c r="FX21" s="34" t="e">
        <f>AND(#REF!,"AAAAAB38u7M=")</f>
        <v>#REF!</v>
      </c>
      <c r="FY21" s="34" t="e">
        <f>AND(#REF!,"AAAAAB38u7Q=")</f>
        <v>#REF!</v>
      </c>
      <c r="FZ21" s="34" t="e">
        <f>AND(#REF!,"AAAAAB38u7U=")</f>
        <v>#REF!</v>
      </c>
      <c r="GA21" s="34" t="e">
        <f>AND(#REF!,"AAAAAB38u7Y=")</f>
        <v>#REF!</v>
      </c>
      <c r="GB21" s="34" t="e">
        <f>AND(#REF!,"AAAAAB38u7c=")</f>
        <v>#REF!</v>
      </c>
      <c r="GC21" s="34" t="e">
        <f>AND(#REF!,"AAAAAB38u7g=")</f>
        <v>#REF!</v>
      </c>
      <c r="GD21" s="34" t="e">
        <f>AND(#REF!,"AAAAAB38u7k=")</f>
        <v>#REF!</v>
      </c>
      <c r="GE21" s="34" t="e">
        <f>AND(#REF!,"AAAAAB38u7o=")</f>
        <v>#REF!</v>
      </c>
      <c r="GF21" s="34" t="e">
        <f>AND(#REF!,"AAAAAB38u7s=")</f>
        <v>#REF!</v>
      </c>
      <c r="GG21" s="34" t="e">
        <f>AND(#REF!,"AAAAAB38u7w=")</f>
        <v>#REF!</v>
      </c>
      <c r="GH21" s="34" t="e">
        <f>AND(#REF!,"AAAAAB38u70=")</f>
        <v>#REF!</v>
      </c>
      <c r="GI21" s="34" t="e">
        <f>AND(#REF!,"AAAAAB38u74=")</f>
        <v>#REF!</v>
      </c>
      <c r="GJ21" s="34" t="e">
        <f>AND(#REF!,"AAAAAB38u78=")</f>
        <v>#REF!</v>
      </c>
      <c r="GK21" s="34" t="e">
        <f>AND(#REF!,"AAAAAB38u8A=")</f>
        <v>#REF!</v>
      </c>
      <c r="GL21" s="34" t="e">
        <f>AND(#REF!,"AAAAAB38u8E=")</f>
        <v>#REF!</v>
      </c>
      <c r="GM21" s="34" t="e">
        <f>AND(#REF!,"AAAAAB38u8I=")</f>
        <v>#REF!</v>
      </c>
      <c r="GN21" s="34" t="e">
        <f>AND(#REF!,"AAAAAB38u8M=")</f>
        <v>#REF!</v>
      </c>
      <c r="GO21" s="34" t="e">
        <f>AND(#REF!,"AAAAAB38u8Q=")</f>
        <v>#REF!</v>
      </c>
      <c r="GP21" s="34" t="e">
        <f>AND(#REF!,"AAAAAB38u8U=")</f>
        <v>#REF!</v>
      </c>
      <c r="GQ21" s="34" t="e">
        <f>AND(#REF!,"AAAAAB38u8Y=")</f>
        <v>#REF!</v>
      </c>
      <c r="GR21" s="34" t="e">
        <f>AND(#REF!,"AAAAAB38u8c=")</f>
        <v>#REF!</v>
      </c>
      <c r="GS21" s="34" t="e">
        <f>AND(#REF!,"AAAAAB38u8g=")</f>
        <v>#REF!</v>
      </c>
      <c r="GT21" s="34" t="e">
        <f>AND(#REF!,"AAAAAB38u8k=")</f>
        <v>#REF!</v>
      </c>
      <c r="GU21" s="34" t="e">
        <f>AND(#REF!,"AAAAAB38u8o=")</f>
        <v>#REF!</v>
      </c>
      <c r="GV21" s="34" t="e">
        <f>AND(#REF!,"AAAAAB38u8s=")</f>
        <v>#REF!</v>
      </c>
      <c r="GW21" s="34" t="e">
        <f>AND(#REF!,"AAAAAB38u8w=")</f>
        <v>#REF!</v>
      </c>
      <c r="GX21" s="34" t="e">
        <f>AND(#REF!,"AAAAAB38u80=")</f>
        <v>#REF!</v>
      </c>
      <c r="GY21" s="34" t="e">
        <f>AND(#REF!,"AAAAAB38u84=")</f>
        <v>#REF!</v>
      </c>
      <c r="GZ21" s="34" t="e">
        <f>AND(#REF!,"AAAAAB38u88=")</f>
        <v>#REF!</v>
      </c>
      <c r="HA21" s="34" t="e">
        <f>AND(#REF!,"AAAAAB38u9A=")</f>
        <v>#REF!</v>
      </c>
      <c r="HB21" s="34" t="e">
        <f>AND(#REF!,"AAAAAB38u9E=")</f>
        <v>#REF!</v>
      </c>
      <c r="HC21" s="34" t="e">
        <f>AND(#REF!,"AAAAAB38u9I=")</f>
        <v>#REF!</v>
      </c>
      <c r="HD21" s="34" t="e">
        <f>AND(#REF!,"AAAAAB38u9M=")</f>
        <v>#REF!</v>
      </c>
      <c r="HE21" s="34" t="e">
        <f>AND(#REF!,"AAAAAB38u9Q=")</f>
        <v>#REF!</v>
      </c>
      <c r="HF21" s="34" t="e">
        <f>AND(#REF!,"AAAAAB38u9U=")</f>
        <v>#REF!</v>
      </c>
      <c r="HG21" s="34" t="e">
        <f>AND(#REF!,"AAAAAB38u9Y=")</f>
        <v>#REF!</v>
      </c>
      <c r="HH21" s="34" t="e">
        <f>AND(#REF!,"AAAAAB38u9c=")</f>
        <v>#REF!</v>
      </c>
      <c r="HI21" s="34" t="e">
        <f>AND(#REF!,"AAAAAB38u9g=")</f>
        <v>#REF!</v>
      </c>
      <c r="HJ21" s="34" t="e">
        <f>AND(#REF!,"AAAAAB38u9k=")</f>
        <v>#REF!</v>
      </c>
      <c r="HK21" s="34" t="e">
        <f>AND(#REF!,"AAAAAB38u9o=")</f>
        <v>#REF!</v>
      </c>
      <c r="HL21" s="34" t="e">
        <f>AND(#REF!,"AAAAAB38u9s=")</f>
        <v>#REF!</v>
      </c>
      <c r="HM21" s="34" t="e">
        <f>AND(#REF!,"AAAAAB38u9w=")</f>
        <v>#REF!</v>
      </c>
      <c r="HN21" s="34" t="e">
        <f>AND(#REF!,"AAAAAB38u90=")</f>
        <v>#REF!</v>
      </c>
      <c r="HO21" s="34" t="e">
        <f>AND(#REF!,"AAAAAB38u94=")</f>
        <v>#REF!</v>
      </c>
      <c r="HP21" s="34" t="e">
        <f>AND(#REF!,"AAAAAB38u98=")</f>
        <v>#REF!</v>
      </c>
      <c r="HQ21" s="34" t="e">
        <f>AND(#REF!,"AAAAAB38u+A=")</f>
        <v>#REF!</v>
      </c>
      <c r="HR21" s="34" t="e">
        <f>AND(#REF!,"AAAAAB38u+E=")</f>
        <v>#REF!</v>
      </c>
      <c r="HS21" s="34" t="e">
        <f>AND(#REF!,"AAAAAB38u+I=")</f>
        <v>#REF!</v>
      </c>
      <c r="HT21" s="34" t="e">
        <f>AND(#REF!,"AAAAAB38u+M=")</f>
        <v>#REF!</v>
      </c>
      <c r="HU21" s="34" t="e">
        <f>AND(#REF!,"AAAAAB38u+Q=")</f>
        <v>#REF!</v>
      </c>
      <c r="HV21" s="34" t="e">
        <f>AND(#REF!,"AAAAAB38u+U=")</f>
        <v>#REF!</v>
      </c>
      <c r="HW21" s="34" t="e">
        <f>AND(#REF!,"AAAAAB38u+Y=")</f>
        <v>#REF!</v>
      </c>
      <c r="HX21" s="34" t="e">
        <f>AND(#REF!,"AAAAAB38u+c=")</f>
        <v>#REF!</v>
      </c>
      <c r="HY21" s="34" t="e">
        <f>AND(#REF!,"AAAAAB38u+g=")</f>
        <v>#REF!</v>
      </c>
      <c r="HZ21" s="34" t="e">
        <f>AND(#REF!,"AAAAAB38u+k=")</f>
        <v>#REF!</v>
      </c>
      <c r="IA21" s="34" t="e">
        <f>IF(#REF!,"AAAAAB38u+o=",0)</f>
        <v>#REF!</v>
      </c>
      <c r="IB21" s="34" t="e">
        <f>AND(#REF!,"AAAAAB38u+s=")</f>
        <v>#REF!</v>
      </c>
      <c r="IC21" s="34" t="e">
        <f>AND(#REF!,"AAAAAB38u+w=")</f>
        <v>#REF!</v>
      </c>
      <c r="ID21" s="34" t="e">
        <f>AND(#REF!,"AAAAAB38u+0=")</f>
        <v>#REF!</v>
      </c>
      <c r="IE21" s="34" t="e">
        <f>AND(#REF!,"AAAAAB38u+4=")</f>
        <v>#REF!</v>
      </c>
      <c r="IF21" s="34" t="e">
        <f>AND(#REF!,"AAAAAB38u+8=")</f>
        <v>#REF!</v>
      </c>
      <c r="IG21" s="34" t="e">
        <f>AND(#REF!,"AAAAAB38u/A=")</f>
        <v>#REF!</v>
      </c>
      <c r="IH21" s="34" t="e">
        <f>AND(#REF!,"AAAAAB38u/E=")</f>
        <v>#REF!</v>
      </c>
      <c r="II21" s="34" t="e">
        <f>AND(#REF!,"AAAAAB38u/I=")</f>
        <v>#REF!</v>
      </c>
      <c r="IJ21" s="34" t="e">
        <f>AND(#REF!,"AAAAAB38u/M=")</f>
        <v>#REF!</v>
      </c>
      <c r="IK21" s="34" t="e">
        <f>AND(#REF!,"AAAAAB38u/Q=")</f>
        <v>#REF!</v>
      </c>
      <c r="IL21" s="34" t="e">
        <f>AND(#REF!,"AAAAAB38u/U=")</f>
        <v>#REF!</v>
      </c>
      <c r="IM21" s="34" t="e">
        <f>AND(#REF!,"AAAAAB38u/Y=")</f>
        <v>#REF!</v>
      </c>
      <c r="IN21" s="34" t="e">
        <f>AND(#REF!,"AAAAAB38u/c=")</f>
        <v>#REF!</v>
      </c>
      <c r="IO21" s="34" t="e">
        <f>AND(#REF!,"AAAAAB38u/g=")</f>
        <v>#REF!</v>
      </c>
      <c r="IP21" s="34" t="e">
        <f>AND(#REF!,"AAAAAB38u/k=")</f>
        <v>#REF!</v>
      </c>
      <c r="IQ21" s="34" t="e">
        <f>AND(#REF!,"AAAAAB38u/o=")</f>
        <v>#REF!</v>
      </c>
      <c r="IR21" s="34" t="e">
        <f>AND(#REF!,"AAAAAB38u/s=")</f>
        <v>#REF!</v>
      </c>
      <c r="IS21" s="34" t="e">
        <f>AND(#REF!,"AAAAAB38u/w=")</f>
        <v>#REF!</v>
      </c>
      <c r="IT21" s="34" t="e">
        <f>AND(#REF!,"AAAAAB38u/0=")</f>
        <v>#REF!</v>
      </c>
      <c r="IU21" s="34" t="e">
        <f>AND(#REF!,"AAAAAB38u/4=")</f>
        <v>#REF!</v>
      </c>
      <c r="IV21" s="34" t="e">
        <f>AND(#REF!,"AAAAAB38u/8=")</f>
        <v>#REF!</v>
      </c>
    </row>
    <row r="22" spans="1:256" ht="12.75" customHeight="1" x14ac:dyDescent="0.2">
      <c r="A22" s="34" t="e">
        <f>AND(#REF!,"AAAAAHr+rgA=")</f>
        <v>#REF!</v>
      </c>
      <c r="B22" s="34" t="e">
        <f>AND(#REF!,"AAAAAHr+rgE=")</f>
        <v>#REF!</v>
      </c>
      <c r="C22" s="34" t="e">
        <f>AND(#REF!,"AAAAAHr+rgI=")</f>
        <v>#REF!</v>
      </c>
      <c r="D22" s="34" t="e">
        <f>AND(#REF!,"AAAAAHr+rgM=")</f>
        <v>#REF!</v>
      </c>
      <c r="E22" s="34" t="e">
        <f>AND(#REF!,"AAAAAHr+rgQ=")</f>
        <v>#REF!</v>
      </c>
      <c r="F22" s="34" t="e">
        <f>AND(#REF!,"AAAAAHr+rgU=")</f>
        <v>#REF!</v>
      </c>
      <c r="G22" s="34" t="e">
        <f>AND(#REF!,"AAAAAHr+rgY=")</f>
        <v>#REF!</v>
      </c>
      <c r="H22" s="34" t="e">
        <f>AND(#REF!,"AAAAAHr+rgc=")</f>
        <v>#REF!</v>
      </c>
      <c r="I22" s="34" t="e">
        <f>AND(#REF!,"AAAAAHr+rgg=")</f>
        <v>#REF!</v>
      </c>
      <c r="J22" s="34" t="e">
        <f>AND(#REF!,"AAAAAHr+rgk=")</f>
        <v>#REF!</v>
      </c>
      <c r="K22" s="34" t="e">
        <f>AND(#REF!,"AAAAAHr+rgo=")</f>
        <v>#REF!</v>
      </c>
      <c r="L22" s="34" t="e">
        <f>AND(#REF!,"AAAAAHr+rgs=")</f>
        <v>#REF!</v>
      </c>
      <c r="M22" s="34" t="e">
        <f>AND(#REF!,"AAAAAHr+rgw=")</f>
        <v>#REF!</v>
      </c>
      <c r="N22" s="34" t="e">
        <f>AND(#REF!,"AAAAAHr+rg0=")</f>
        <v>#REF!</v>
      </c>
      <c r="O22" s="34" t="e">
        <f>AND(#REF!,"AAAAAHr+rg4=")</f>
        <v>#REF!</v>
      </c>
      <c r="P22" s="34" t="e">
        <f>AND(#REF!,"AAAAAHr+rg8=")</f>
        <v>#REF!</v>
      </c>
      <c r="Q22" s="34" t="e">
        <f>AND(#REF!,"AAAAAHr+rhA=")</f>
        <v>#REF!</v>
      </c>
      <c r="R22" s="34" t="e">
        <f>AND(#REF!,"AAAAAHr+rhE=")</f>
        <v>#REF!</v>
      </c>
      <c r="S22" s="34" t="e">
        <f>AND(#REF!,"AAAAAHr+rhI=")</f>
        <v>#REF!</v>
      </c>
      <c r="T22" s="34" t="e">
        <f>AND(#REF!,"AAAAAHr+rhM=")</f>
        <v>#REF!</v>
      </c>
      <c r="U22" s="34" t="e">
        <f>AND(#REF!,"AAAAAHr+rhQ=")</f>
        <v>#REF!</v>
      </c>
      <c r="V22" s="34" t="e">
        <f>AND(#REF!,"AAAAAHr+rhU=")</f>
        <v>#REF!</v>
      </c>
      <c r="W22" s="34" t="e">
        <f>AND(#REF!,"AAAAAHr+rhY=")</f>
        <v>#REF!</v>
      </c>
      <c r="X22" s="34" t="e">
        <f>AND(#REF!,"AAAAAHr+rhc=")</f>
        <v>#REF!</v>
      </c>
      <c r="Y22" s="34" t="e">
        <f>AND(#REF!,"AAAAAHr+rhg=")</f>
        <v>#REF!</v>
      </c>
      <c r="Z22" s="34" t="e">
        <f>AND(#REF!,"AAAAAHr+rhk=")</f>
        <v>#REF!</v>
      </c>
      <c r="AA22" s="34" t="e">
        <f>AND(#REF!,"AAAAAHr+rho=")</f>
        <v>#REF!</v>
      </c>
      <c r="AB22" s="34" t="e">
        <f>AND(#REF!,"AAAAAHr+rhs=")</f>
        <v>#REF!</v>
      </c>
      <c r="AC22" s="34" t="e">
        <f>AND(#REF!,"AAAAAHr+rhw=")</f>
        <v>#REF!</v>
      </c>
      <c r="AD22" s="34" t="e">
        <f>AND(#REF!,"AAAAAHr+rh0=")</f>
        <v>#REF!</v>
      </c>
      <c r="AE22" s="34" t="e">
        <f>AND(#REF!,"AAAAAHr+rh4=")</f>
        <v>#REF!</v>
      </c>
      <c r="AF22" s="34" t="e">
        <f>AND(#REF!,"AAAAAHr+rh8=")</f>
        <v>#REF!</v>
      </c>
      <c r="AG22" s="34" t="e">
        <f>AND(#REF!,"AAAAAHr+riA=")</f>
        <v>#REF!</v>
      </c>
      <c r="AH22" s="34" t="e">
        <f>AND(#REF!,"AAAAAHr+riE=")</f>
        <v>#REF!</v>
      </c>
      <c r="AI22" s="34" t="e">
        <f>AND(#REF!,"AAAAAHr+riI=")</f>
        <v>#REF!</v>
      </c>
      <c r="AJ22" s="34" t="e">
        <f>AND(#REF!,"AAAAAHr+riM=")</f>
        <v>#REF!</v>
      </c>
      <c r="AK22" s="34" t="e">
        <f>AND(#REF!,"AAAAAHr+riQ=")</f>
        <v>#REF!</v>
      </c>
      <c r="AL22" s="34" t="e">
        <f>AND(#REF!,"AAAAAHr+riU=")</f>
        <v>#REF!</v>
      </c>
      <c r="AM22" s="34" t="e">
        <f>AND(#REF!,"AAAAAHr+riY=")</f>
        <v>#REF!</v>
      </c>
      <c r="AN22" s="34" t="e">
        <f>AND(#REF!,"AAAAAHr+ric=")</f>
        <v>#REF!</v>
      </c>
      <c r="AO22" s="34" t="e">
        <f>AND(#REF!,"AAAAAHr+rig=")</f>
        <v>#REF!</v>
      </c>
      <c r="AP22" s="34" t="e">
        <f>AND(#REF!,"AAAAAHr+rik=")</f>
        <v>#REF!</v>
      </c>
      <c r="AQ22" s="34" t="e">
        <f>AND(#REF!,"AAAAAHr+rio=")</f>
        <v>#REF!</v>
      </c>
      <c r="AR22" s="34" t="e">
        <f>AND(#REF!,"AAAAAHr+ris=")</f>
        <v>#REF!</v>
      </c>
      <c r="AS22" s="34" t="e">
        <f>AND(#REF!,"AAAAAHr+riw=")</f>
        <v>#REF!</v>
      </c>
      <c r="AT22" s="34" t="e">
        <f>AND(#REF!,"AAAAAHr+ri0=")</f>
        <v>#REF!</v>
      </c>
      <c r="AU22" s="34" t="e">
        <f>AND(#REF!,"AAAAAHr+ri4=")</f>
        <v>#REF!</v>
      </c>
      <c r="AV22" s="34" t="e">
        <f>AND(#REF!,"AAAAAHr+ri8=")</f>
        <v>#REF!</v>
      </c>
      <c r="AW22" s="34" t="e">
        <f>AND(#REF!,"AAAAAHr+rjA=")</f>
        <v>#REF!</v>
      </c>
      <c r="AX22" s="34" t="e">
        <f>AND(#REF!,"AAAAAHr+rjE=")</f>
        <v>#REF!</v>
      </c>
      <c r="AY22" s="34" t="e">
        <f>AND(#REF!,"AAAAAHr+rjI=")</f>
        <v>#REF!</v>
      </c>
      <c r="AZ22" s="34" t="e">
        <f>IF(#REF!,"AAAAAHr+rjM=",0)</f>
        <v>#REF!</v>
      </c>
      <c r="BA22" s="34" t="e">
        <f>AND(#REF!,"AAAAAHr+rjQ=")</f>
        <v>#REF!</v>
      </c>
      <c r="BB22" s="34" t="e">
        <f>AND(#REF!,"AAAAAHr+rjU=")</f>
        <v>#REF!</v>
      </c>
      <c r="BC22" s="34" t="e">
        <f>AND(#REF!,"AAAAAHr+rjY=")</f>
        <v>#REF!</v>
      </c>
      <c r="BD22" s="34" t="e">
        <f>AND(#REF!,"AAAAAHr+rjc=")</f>
        <v>#REF!</v>
      </c>
      <c r="BE22" s="34" t="e">
        <f>AND(#REF!,"AAAAAHr+rjg=")</f>
        <v>#REF!</v>
      </c>
      <c r="BF22" s="34" t="e">
        <f>AND(#REF!,"AAAAAHr+rjk=")</f>
        <v>#REF!</v>
      </c>
      <c r="BG22" s="34" t="e">
        <f>AND(#REF!,"AAAAAHr+rjo=")</f>
        <v>#REF!</v>
      </c>
      <c r="BH22" s="34" t="e">
        <f>AND(#REF!,"AAAAAHr+rjs=")</f>
        <v>#REF!</v>
      </c>
      <c r="BI22" s="34" t="e">
        <f>AND(#REF!,"AAAAAHr+rjw=")</f>
        <v>#REF!</v>
      </c>
      <c r="BJ22" s="34" t="e">
        <f>AND(#REF!,"AAAAAHr+rj0=")</f>
        <v>#REF!</v>
      </c>
      <c r="BK22" s="34" t="e">
        <f>AND(#REF!,"AAAAAHr+rj4=")</f>
        <v>#REF!</v>
      </c>
      <c r="BL22" s="34" t="e">
        <f>AND(#REF!,"AAAAAHr+rj8=")</f>
        <v>#REF!</v>
      </c>
      <c r="BM22" s="34" t="e">
        <f>AND(#REF!,"AAAAAHr+rkA=")</f>
        <v>#REF!</v>
      </c>
      <c r="BN22" s="34" t="e">
        <f>AND(#REF!,"AAAAAHr+rkE=")</f>
        <v>#REF!</v>
      </c>
      <c r="BO22" s="34" t="e">
        <f>AND(#REF!,"AAAAAHr+rkI=")</f>
        <v>#REF!</v>
      </c>
      <c r="BP22" s="34" t="e">
        <f>AND(#REF!,"AAAAAHr+rkM=")</f>
        <v>#REF!</v>
      </c>
      <c r="BQ22" s="34" t="e">
        <f>AND(#REF!,"AAAAAHr+rkQ=")</f>
        <v>#REF!</v>
      </c>
      <c r="BR22" s="34" t="e">
        <f>AND(#REF!,"AAAAAHr+rkU=")</f>
        <v>#REF!</v>
      </c>
      <c r="BS22" s="34" t="e">
        <f>AND(#REF!,"AAAAAHr+rkY=")</f>
        <v>#REF!</v>
      </c>
      <c r="BT22" s="34" t="e">
        <f>AND(#REF!,"AAAAAHr+rkc=")</f>
        <v>#REF!</v>
      </c>
      <c r="BU22" s="34" t="e">
        <f>AND(#REF!,"AAAAAHr+rkg=")</f>
        <v>#REF!</v>
      </c>
      <c r="BV22" s="34" t="e">
        <f>AND(#REF!,"AAAAAHr+rkk=")</f>
        <v>#REF!</v>
      </c>
      <c r="BW22" s="34" t="e">
        <f>AND(#REF!,"AAAAAHr+rko=")</f>
        <v>#REF!</v>
      </c>
      <c r="BX22" s="34" t="e">
        <f>AND(#REF!,"AAAAAHr+rks=")</f>
        <v>#REF!</v>
      </c>
      <c r="BY22" s="34" t="e">
        <f>AND(#REF!,"AAAAAHr+rkw=")</f>
        <v>#REF!</v>
      </c>
      <c r="BZ22" s="34" t="e">
        <f>AND(#REF!,"AAAAAHr+rk0=")</f>
        <v>#REF!</v>
      </c>
      <c r="CA22" s="34" t="e">
        <f>AND(#REF!,"AAAAAHr+rk4=")</f>
        <v>#REF!</v>
      </c>
      <c r="CB22" s="34" t="e">
        <f>AND(#REF!,"AAAAAHr+rk8=")</f>
        <v>#REF!</v>
      </c>
      <c r="CC22" s="34" t="e">
        <f>AND(#REF!,"AAAAAHr+rlA=")</f>
        <v>#REF!</v>
      </c>
      <c r="CD22" s="34" t="e">
        <f>AND(#REF!,"AAAAAHr+rlE=")</f>
        <v>#REF!</v>
      </c>
      <c r="CE22" s="34" t="e">
        <f>AND(#REF!,"AAAAAHr+rlI=")</f>
        <v>#REF!</v>
      </c>
      <c r="CF22" s="34" t="e">
        <f>AND(#REF!,"AAAAAHr+rlM=")</f>
        <v>#REF!</v>
      </c>
      <c r="CG22" s="34" t="e">
        <f>AND(#REF!,"AAAAAHr+rlQ=")</f>
        <v>#REF!</v>
      </c>
      <c r="CH22" s="34" t="e">
        <f>AND(#REF!,"AAAAAHr+rlU=")</f>
        <v>#REF!</v>
      </c>
      <c r="CI22" s="34" t="e">
        <f>AND(#REF!,"AAAAAHr+rlY=")</f>
        <v>#REF!</v>
      </c>
      <c r="CJ22" s="34" t="e">
        <f>AND(#REF!,"AAAAAHr+rlc=")</f>
        <v>#REF!</v>
      </c>
      <c r="CK22" s="34" t="e">
        <f>AND(#REF!,"AAAAAHr+rlg=")</f>
        <v>#REF!</v>
      </c>
      <c r="CL22" s="34" t="e">
        <f>AND(#REF!,"AAAAAHr+rlk=")</f>
        <v>#REF!</v>
      </c>
      <c r="CM22" s="34" t="e">
        <f>AND(#REF!,"AAAAAHr+rlo=")</f>
        <v>#REF!</v>
      </c>
      <c r="CN22" s="34" t="e">
        <f>AND(#REF!,"AAAAAHr+rls=")</f>
        <v>#REF!</v>
      </c>
      <c r="CO22" s="34" t="e">
        <f>AND(#REF!,"AAAAAHr+rlw=")</f>
        <v>#REF!</v>
      </c>
      <c r="CP22" s="34" t="e">
        <f>AND(#REF!,"AAAAAHr+rl0=")</f>
        <v>#REF!</v>
      </c>
      <c r="CQ22" s="34" t="e">
        <f>AND(#REF!,"AAAAAHr+rl4=")</f>
        <v>#REF!</v>
      </c>
      <c r="CR22" s="34" t="e">
        <f>AND(#REF!,"AAAAAHr+rl8=")</f>
        <v>#REF!</v>
      </c>
      <c r="CS22" s="34" t="e">
        <f>AND(#REF!,"AAAAAHr+rmA=")</f>
        <v>#REF!</v>
      </c>
      <c r="CT22" s="34" t="e">
        <f>AND(#REF!,"AAAAAHr+rmE=")</f>
        <v>#REF!</v>
      </c>
      <c r="CU22" s="34" t="e">
        <f>AND(#REF!,"AAAAAHr+rmI=")</f>
        <v>#REF!</v>
      </c>
      <c r="CV22" s="34" t="e">
        <f>AND(#REF!,"AAAAAHr+rmM=")</f>
        <v>#REF!</v>
      </c>
      <c r="CW22" s="34" t="e">
        <f>AND(#REF!,"AAAAAHr+rmQ=")</f>
        <v>#REF!</v>
      </c>
      <c r="CX22" s="34" t="e">
        <f>AND(#REF!,"AAAAAHr+rmU=")</f>
        <v>#REF!</v>
      </c>
      <c r="CY22" s="34" t="e">
        <f>AND(#REF!,"AAAAAHr+rmY=")</f>
        <v>#REF!</v>
      </c>
      <c r="CZ22" s="34" t="e">
        <f>AND(#REF!,"AAAAAHr+rmc=")</f>
        <v>#REF!</v>
      </c>
      <c r="DA22" s="34" t="e">
        <f>AND(#REF!,"AAAAAHr+rmg=")</f>
        <v>#REF!</v>
      </c>
      <c r="DB22" s="34" t="e">
        <f>AND(#REF!,"AAAAAHr+rmk=")</f>
        <v>#REF!</v>
      </c>
      <c r="DC22" s="34" t="e">
        <f>AND(#REF!,"AAAAAHr+rmo=")</f>
        <v>#REF!</v>
      </c>
      <c r="DD22" s="34" t="e">
        <f>AND(#REF!,"AAAAAHr+rms=")</f>
        <v>#REF!</v>
      </c>
      <c r="DE22" s="34" t="e">
        <f>AND(#REF!,"AAAAAHr+rmw=")</f>
        <v>#REF!</v>
      </c>
      <c r="DF22" s="34" t="e">
        <f>AND(#REF!,"AAAAAHr+rm0=")</f>
        <v>#REF!</v>
      </c>
      <c r="DG22" s="34" t="e">
        <f>AND(#REF!,"AAAAAHr+rm4=")</f>
        <v>#REF!</v>
      </c>
      <c r="DH22" s="34" t="e">
        <f>AND(#REF!,"AAAAAHr+rm8=")</f>
        <v>#REF!</v>
      </c>
      <c r="DI22" s="34" t="e">
        <f>AND(#REF!,"AAAAAHr+rnA=")</f>
        <v>#REF!</v>
      </c>
      <c r="DJ22" s="34" t="e">
        <f>AND(#REF!,"AAAAAHr+rnE=")</f>
        <v>#REF!</v>
      </c>
      <c r="DK22" s="34" t="e">
        <f>AND(#REF!,"AAAAAHr+rnI=")</f>
        <v>#REF!</v>
      </c>
      <c r="DL22" s="34" t="e">
        <f>AND(#REF!,"AAAAAHr+rnM=")</f>
        <v>#REF!</v>
      </c>
      <c r="DM22" s="34" t="e">
        <f>AND(#REF!,"AAAAAHr+rnQ=")</f>
        <v>#REF!</v>
      </c>
      <c r="DN22" s="34" t="e">
        <f>AND(#REF!,"AAAAAHr+rnU=")</f>
        <v>#REF!</v>
      </c>
      <c r="DO22" s="34" t="e">
        <f>AND(#REF!,"AAAAAHr+rnY=")</f>
        <v>#REF!</v>
      </c>
      <c r="DP22" s="34" t="e">
        <f>AND(#REF!,"AAAAAHr+rnc=")</f>
        <v>#REF!</v>
      </c>
      <c r="DQ22" s="34" t="e">
        <f>AND(#REF!,"AAAAAHr+rng=")</f>
        <v>#REF!</v>
      </c>
      <c r="DR22" s="34" t="e">
        <f>AND(#REF!,"AAAAAHr+rnk=")</f>
        <v>#REF!</v>
      </c>
      <c r="DS22" s="34" t="e">
        <f>AND(#REF!,"AAAAAHr+rno=")</f>
        <v>#REF!</v>
      </c>
      <c r="DT22" s="34" t="e">
        <f>AND(#REF!,"AAAAAHr+rns=")</f>
        <v>#REF!</v>
      </c>
      <c r="DU22" s="34" t="e">
        <f>IF(#REF!,"AAAAAHr+rnw=",0)</f>
        <v>#REF!</v>
      </c>
      <c r="DV22" s="34" t="e">
        <f>AND(#REF!,"AAAAAHr+rn0=")</f>
        <v>#REF!</v>
      </c>
      <c r="DW22" s="34" t="e">
        <f>AND(#REF!,"AAAAAHr+rn4=")</f>
        <v>#REF!</v>
      </c>
      <c r="DX22" s="34" t="e">
        <f>AND(#REF!,"AAAAAHr+rn8=")</f>
        <v>#REF!</v>
      </c>
      <c r="DY22" s="34" t="e">
        <f>AND(#REF!,"AAAAAHr+roA=")</f>
        <v>#REF!</v>
      </c>
      <c r="DZ22" s="34" t="e">
        <f>AND(#REF!,"AAAAAHr+roE=")</f>
        <v>#REF!</v>
      </c>
      <c r="EA22" s="34" t="e">
        <f>AND(#REF!,"AAAAAHr+roI=")</f>
        <v>#REF!</v>
      </c>
      <c r="EB22" s="34" t="e">
        <f>AND(#REF!,"AAAAAHr+roM=")</f>
        <v>#REF!</v>
      </c>
      <c r="EC22" s="34" t="e">
        <f>AND(#REF!,"AAAAAHr+roQ=")</f>
        <v>#REF!</v>
      </c>
      <c r="ED22" s="34" t="e">
        <f>AND(#REF!,"AAAAAHr+roU=")</f>
        <v>#REF!</v>
      </c>
      <c r="EE22" s="34" t="e">
        <f>AND(#REF!,"AAAAAHr+roY=")</f>
        <v>#REF!</v>
      </c>
      <c r="EF22" s="34" t="e">
        <f>AND(#REF!,"AAAAAHr+roc=")</f>
        <v>#REF!</v>
      </c>
      <c r="EG22" s="34" t="e">
        <f>AND(#REF!,"AAAAAHr+rog=")</f>
        <v>#REF!</v>
      </c>
      <c r="EH22" s="34" t="e">
        <f>AND(#REF!,"AAAAAHr+rok=")</f>
        <v>#REF!</v>
      </c>
      <c r="EI22" s="34" t="e">
        <f>AND(#REF!,"AAAAAHr+roo=")</f>
        <v>#REF!</v>
      </c>
      <c r="EJ22" s="34" t="e">
        <f>AND(#REF!,"AAAAAHr+ros=")</f>
        <v>#REF!</v>
      </c>
      <c r="EK22" s="34" t="e">
        <f>AND(#REF!,"AAAAAHr+row=")</f>
        <v>#REF!</v>
      </c>
      <c r="EL22" s="34" t="e">
        <f>AND(#REF!,"AAAAAHr+ro0=")</f>
        <v>#REF!</v>
      </c>
      <c r="EM22" s="34" t="e">
        <f>AND(#REF!,"AAAAAHr+ro4=")</f>
        <v>#REF!</v>
      </c>
      <c r="EN22" s="34" t="e">
        <f>AND(#REF!,"AAAAAHr+ro8=")</f>
        <v>#REF!</v>
      </c>
      <c r="EO22" s="34" t="e">
        <f>AND(#REF!,"AAAAAHr+rpA=")</f>
        <v>#REF!</v>
      </c>
      <c r="EP22" s="34" t="e">
        <f>AND(#REF!,"AAAAAHr+rpE=")</f>
        <v>#REF!</v>
      </c>
      <c r="EQ22" s="34" t="e">
        <f>AND(#REF!,"AAAAAHr+rpI=")</f>
        <v>#REF!</v>
      </c>
      <c r="ER22" s="34" t="e">
        <f>AND(#REF!,"AAAAAHr+rpM=")</f>
        <v>#REF!</v>
      </c>
      <c r="ES22" s="34" t="e">
        <f>AND(#REF!,"AAAAAHr+rpQ=")</f>
        <v>#REF!</v>
      </c>
      <c r="ET22" s="34" t="e">
        <f>AND(#REF!,"AAAAAHr+rpU=")</f>
        <v>#REF!</v>
      </c>
      <c r="EU22" s="34" t="e">
        <f>AND(#REF!,"AAAAAHr+rpY=")</f>
        <v>#REF!</v>
      </c>
      <c r="EV22" s="34" t="e">
        <f>AND(#REF!,"AAAAAHr+rpc=")</f>
        <v>#REF!</v>
      </c>
      <c r="EW22" s="34" t="e">
        <f>AND(#REF!,"AAAAAHr+rpg=")</f>
        <v>#REF!</v>
      </c>
      <c r="EX22" s="34" t="e">
        <f>AND(#REF!,"AAAAAHr+rpk=")</f>
        <v>#REF!</v>
      </c>
      <c r="EY22" s="34" t="e">
        <f>AND(#REF!,"AAAAAHr+rpo=")</f>
        <v>#REF!</v>
      </c>
      <c r="EZ22" s="34" t="e">
        <f>AND(#REF!,"AAAAAHr+rps=")</f>
        <v>#REF!</v>
      </c>
      <c r="FA22" s="34" t="e">
        <f>AND(#REF!,"AAAAAHr+rpw=")</f>
        <v>#REF!</v>
      </c>
      <c r="FB22" s="34" t="e">
        <f>AND(#REF!,"AAAAAHr+rp0=")</f>
        <v>#REF!</v>
      </c>
      <c r="FC22" s="34" t="e">
        <f>AND(#REF!,"AAAAAHr+rp4=")</f>
        <v>#REF!</v>
      </c>
      <c r="FD22" s="34" t="e">
        <f>AND(#REF!,"AAAAAHr+rp8=")</f>
        <v>#REF!</v>
      </c>
      <c r="FE22" s="34" t="e">
        <f>AND(#REF!,"AAAAAHr+rqA=")</f>
        <v>#REF!</v>
      </c>
      <c r="FF22" s="34" t="e">
        <f>AND(#REF!,"AAAAAHr+rqE=")</f>
        <v>#REF!</v>
      </c>
      <c r="FG22" s="34" t="e">
        <f>AND(#REF!,"AAAAAHr+rqI=")</f>
        <v>#REF!</v>
      </c>
      <c r="FH22" s="34" t="e">
        <f>AND(#REF!,"AAAAAHr+rqM=")</f>
        <v>#REF!</v>
      </c>
      <c r="FI22" s="34" t="e">
        <f>AND(#REF!,"AAAAAHr+rqQ=")</f>
        <v>#REF!</v>
      </c>
      <c r="FJ22" s="34" t="e">
        <f>AND(#REF!,"AAAAAHr+rqU=")</f>
        <v>#REF!</v>
      </c>
      <c r="FK22" s="34" t="e">
        <f>AND(#REF!,"AAAAAHr+rqY=")</f>
        <v>#REF!</v>
      </c>
      <c r="FL22" s="34" t="e">
        <f>AND(#REF!,"AAAAAHr+rqc=")</f>
        <v>#REF!</v>
      </c>
      <c r="FM22" s="34" t="e">
        <f>AND(#REF!,"AAAAAHr+rqg=")</f>
        <v>#REF!</v>
      </c>
      <c r="FN22" s="34" t="e">
        <f>AND(#REF!,"AAAAAHr+rqk=")</f>
        <v>#REF!</v>
      </c>
      <c r="FO22" s="34" t="e">
        <f>AND(#REF!,"AAAAAHr+rqo=")</f>
        <v>#REF!</v>
      </c>
      <c r="FP22" s="34" t="e">
        <f>AND(#REF!,"AAAAAHr+rqs=")</f>
        <v>#REF!</v>
      </c>
      <c r="FQ22" s="34" t="e">
        <f>AND(#REF!,"AAAAAHr+rqw=")</f>
        <v>#REF!</v>
      </c>
      <c r="FR22" s="34" t="e">
        <f>AND(#REF!,"AAAAAHr+rq0=")</f>
        <v>#REF!</v>
      </c>
      <c r="FS22" s="34" t="e">
        <f>AND(#REF!,"AAAAAHr+rq4=")</f>
        <v>#REF!</v>
      </c>
      <c r="FT22" s="34" t="e">
        <f>AND(#REF!,"AAAAAHr+rq8=")</f>
        <v>#REF!</v>
      </c>
      <c r="FU22" s="34" t="e">
        <f>AND(#REF!,"AAAAAHr+rrA=")</f>
        <v>#REF!</v>
      </c>
      <c r="FV22" s="34" t="e">
        <f>AND(#REF!,"AAAAAHr+rrE=")</f>
        <v>#REF!</v>
      </c>
      <c r="FW22" s="34" t="e">
        <f>AND(#REF!,"AAAAAHr+rrI=")</f>
        <v>#REF!</v>
      </c>
      <c r="FX22" s="34" t="e">
        <f>AND(#REF!,"AAAAAHr+rrM=")</f>
        <v>#REF!</v>
      </c>
      <c r="FY22" s="34" t="e">
        <f>AND(#REF!,"AAAAAHr+rrQ=")</f>
        <v>#REF!</v>
      </c>
      <c r="FZ22" s="34" t="e">
        <f>AND(#REF!,"AAAAAHr+rrU=")</f>
        <v>#REF!</v>
      </c>
      <c r="GA22" s="34" t="e">
        <f>AND(#REF!,"AAAAAHr+rrY=")</f>
        <v>#REF!</v>
      </c>
      <c r="GB22" s="34" t="e">
        <f>AND(#REF!,"AAAAAHr+rrc=")</f>
        <v>#REF!</v>
      </c>
      <c r="GC22" s="34" t="e">
        <f>AND(#REF!,"AAAAAHr+rrg=")</f>
        <v>#REF!</v>
      </c>
      <c r="GD22" s="34" t="e">
        <f>AND(#REF!,"AAAAAHr+rrk=")</f>
        <v>#REF!</v>
      </c>
      <c r="GE22" s="34" t="e">
        <f>AND(#REF!,"AAAAAHr+rro=")</f>
        <v>#REF!</v>
      </c>
      <c r="GF22" s="34" t="e">
        <f>AND(#REF!,"AAAAAHr+rrs=")</f>
        <v>#REF!</v>
      </c>
      <c r="GG22" s="34" t="e">
        <f>AND(#REF!,"AAAAAHr+rrw=")</f>
        <v>#REF!</v>
      </c>
      <c r="GH22" s="34" t="e">
        <f>AND(#REF!,"AAAAAHr+rr0=")</f>
        <v>#REF!</v>
      </c>
      <c r="GI22" s="34" t="e">
        <f>AND(#REF!,"AAAAAHr+rr4=")</f>
        <v>#REF!</v>
      </c>
      <c r="GJ22" s="34" t="e">
        <f>AND(#REF!,"AAAAAHr+rr8=")</f>
        <v>#REF!</v>
      </c>
      <c r="GK22" s="34" t="e">
        <f>AND(#REF!,"AAAAAHr+rsA=")</f>
        <v>#REF!</v>
      </c>
      <c r="GL22" s="34" t="e">
        <f>AND(#REF!,"AAAAAHr+rsE=")</f>
        <v>#REF!</v>
      </c>
      <c r="GM22" s="34" t="e">
        <f>AND(#REF!,"AAAAAHr+rsI=")</f>
        <v>#REF!</v>
      </c>
      <c r="GN22" s="34" t="e">
        <f>AND(#REF!,"AAAAAHr+rsM=")</f>
        <v>#REF!</v>
      </c>
      <c r="GO22" s="34" t="e">
        <f>AND(#REF!,"AAAAAHr+rsQ=")</f>
        <v>#REF!</v>
      </c>
      <c r="GP22" s="34" t="e">
        <f>IF(#REF!,"AAAAAHr+rsU=",0)</f>
        <v>#REF!</v>
      </c>
      <c r="GQ22" s="34" t="e">
        <f>AND(#REF!,"AAAAAHr+rsY=")</f>
        <v>#REF!</v>
      </c>
      <c r="GR22" s="34" t="e">
        <f>AND(#REF!,"AAAAAHr+rsc=")</f>
        <v>#REF!</v>
      </c>
      <c r="GS22" s="34" t="e">
        <f>AND(#REF!,"AAAAAHr+rsg=")</f>
        <v>#REF!</v>
      </c>
      <c r="GT22" s="34" t="e">
        <f>AND(#REF!,"AAAAAHr+rsk=")</f>
        <v>#REF!</v>
      </c>
      <c r="GU22" s="34" t="e">
        <f>AND(#REF!,"AAAAAHr+rso=")</f>
        <v>#REF!</v>
      </c>
      <c r="GV22" s="34" t="e">
        <f>AND(#REF!,"AAAAAHr+rss=")</f>
        <v>#REF!</v>
      </c>
      <c r="GW22" s="34" t="e">
        <f>AND(#REF!,"AAAAAHr+rsw=")</f>
        <v>#REF!</v>
      </c>
      <c r="GX22" s="34" t="e">
        <f>AND(#REF!,"AAAAAHr+rs0=")</f>
        <v>#REF!</v>
      </c>
      <c r="GY22" s="34" t="e">
        <f>AND(#REF!,"AAAAAHr+rs4=")</f>
        <v>#REF!</v>
      </c>
      <c r="GZ22" s="34" t="e">
        <f>AND(#REF!,"AAAAAHr+rs8=")</f>
        <v>#REF!</v>
      </c>
      <c r="HA22" s="34" t="e">
        <f>AND(#REF!,"AAAAAHr+rtA=")</f>
        <v>#REF!</v>
      </c>
      <c r="HB22" s="34" t="e">
        <f>AND(#REF!,"AAAAAHr+rtE=")</f>
        <v>#REF!</v>
      </c>
      <c r="HC22" s="34" t="e">
        <f>AND(#REF!,"AAAAAHr+rtI=")</f>
        <v>#REF!</v>
      </c>
      <c r="HD22" s="34" t="e">
        <f>AND(#REF!,"AAAAAHr+rtM=")</f>
        <v>#REF!</v>
      </c>
      <c r="HE22" s="34" t="e">
        <f>AND(#REF!,"AAAAAHr+rtQ=")</f>
        <v>#REF!</v>
      </c>
      <c r="HF22" s="34" t="e">
        <f>AND(#REF!,"AAAAAHr+rtU=")</f>
        <v>#REF!</v>
      </c>
      <c r="HG22" s="34" t="e">
        <f>AND(#REF!,"AAAAAHr+rtY=")</f>
        <v>#REF!</v>
      </c>
      <c r="HH22" s="34" t="e">
        <f>AND(#REF!,"AAAAAHr+rtc=")</f>
        <v>#REF!</v>
      </c>
      <c r="HI22" s="34" t="e">
        <f>AND(#REF!,"AAAAAHr+rtg=")</f>
        <v>#REF!</v>
      </c>
      <c r="HJ22" s="34" t="e">
        <f>AND(#REF!,"AAAAAHr+rtk=")</f>
        <v>#REF!</v>
      </c>
      <c r="HK22" s="34" t="e">
        <f>AND(#REF!,"AAAAAHr+rto=")</f>
        <v>#REF!</v>
      </c>
      <c r="HL22" s="34" t="e">
        <f>AND(#REF!,"AAAAAHr+rts=")</f>
        <v>#REF!</v>
      </c>
      <c r="HM22" s="34" t="e">
        <f>AND(#REF!,"AAAAAHr+rtw=")</f>
        <v>#REF!</v>
      </c>
      <c r="HN22" s="34" t="e">
        <f>AND(#REF!,"AAAAAHr+rt0=")</f>
        <v>#REF!</v>
      </c>
      <c r="HO22" s="34" t="e">
        <f>AND(#REF!,"AAAAAHr+rt4=")</f>
        <v>#REF!</v>
      </c>
      <c r="HP22" s="34" t="e">
        <f>AND(#REF!,"AAAAAHr+rt8=")</f>
        <v>#REF!</v>
      </c>
      <c r="HQ22" s="34" t="e">
        <f>AND(#REF!,"AAAAAHr+ruA=")</f>
        <v>#REF!</v>
      </c>
      <c r="HR22" s="34" t="e">
        <f>AND(#REF!,"AAAAAHr+ruE=")</f>
        <v>#REF!</v>
      </c>
      <c r="HS22" s="34" t="e">
        <f>AND(#REF!,"AAAAAHr+ruI=")</f>
        <v>#REF!</v>
      </c>
      <c r="HT22" s="34" t="e">
        <f>AND(#REF!,"AAAAAHr+ruM=")</f>
        <v>#REF!</v>
      </c>
      <c r="HU22" s="34" t="e">
        <f>AND(#REF!,"AAAAAHr+ruQ=")</f>
        <v>#REF!</v>
      </c>
      <c r="HV22" s="34" t="e">
        <f>AND(#REF!,"AAAAAHr+ruU=")</f>
        <v>#REF!</v>
      </c>
      <c r="HW22" s="34" t="e">
        <f>AND(#REF!,"AAAAAHr+ruY=")</f>
        <v>#REF!</v>
      </c>
      <c r="HX22" s="34" t="e">
        <f>AND(#REF!,"AAAAAHr+ruc=")</f>
        <v>#REF!</v>
      </c>
      <c r="HY22" s="34" t="e">
        <f>AND(#REF!,"AAAAAHr+rug=")</f>
        <v>#REF!</v>
      </c>
      <c r="HZ22" s="34" t="e">
        <f>AND(#REF!,"AAAAAHr+ruk=")</f>
        <v>#REF!</v>
      </c>
      <c r="IA22" s="34" t="e">
        <f>AND(#REF!,"AAAAAHr+ruo=")</f>
        <v>#REF!</v>
      </c>
      <c r="IB22" s="34" t="e">
        <f>AND(#REF!,"AAAAAHr+rus=")</f>
        <v>#REF!</v>
      </c>
      <c r="IC22" s="34" t="e">
        <f>AND(#REF!,"AAAAAHr+ruw=")</f>
        <v>#REF!</v>
      </c>
      <c r="ID22" s="34" t="e">
        <f>AND(#REF!,"AAAAAHr+ru0=")</f>
        <v>#REF!</v>
      </c>
      <c r="IE22" s="34" t="e">
        <f>AND(#REF!,"AAAAAHr+ru4=")</f>
        <v>#REF!</v>
      </c>
      <c r="IF22" s="34" t="e">
        <f>AND(#REF!,"AAAAAHr+ru8=")</f>
        <v>#REF!</v>
      </c>
      <c r="IG22" s="34" t="e">
        <f>AND(#REF!,"AAAAAHr+rvA=")</f>
        <v>#REF!</v>
      </c>
      <c r="IH22" s="34" t="e">
        <f>AND(#REF!,"AAAAAHr+rvE=")</f>
        <v>#REF!</v>
      </c>
      <c r="II22" s="34" t="e">
        <f>AND(#REF!,"AAAAAHr+rvI=")</f>
        <v>#REF!</v>
      </c>
      <c r="IJ22" s="34" t="e">
        <f>AND(#REF!,"AAAAAHr+rvM=")</f>
        <v>#REF!</v>
      </c>
      <c r="IK22" s="34" t="e">
        <f>AND(#REF!,"AAAAAHr+rvQ=")</f>
        <v>#REF!</v>
      </c>
      <c r="IL22" s="34" t="e">
        <f>AND(#REF!,"AAAAAHr+rvU=")</f>
        <v>#REF!</v>
      </c>
      <c r="IM22" s="34" t="e">
        <f>AND(#REF!,"AAAAAHr+rvY=")</f>
        <v>#REF!</v>
      </c>
      <c r="IN22" s="34" t="e">
        <f>AND(#REF!,"AAAAAHr+rvc=")</f>
        <v>#REF!</v>
      </c>
      <c r="IO22" s="34" t="e">
        <f>AND(#REF!,"AAAAAHr+rvg=")</f>
        <v>#REF!</v>
      </c>
      <c r="IP22" s="34" t="e">
        <f>AND(#REF!,"AAAAAHr+rvk=")</f>
        <v>#REF!</v>
      </c>
      <c r="IQ22" s="34" t="e">
        <f>AND(#REF!,"AAAAAHr+rvo=")</f>
        <v>#REF!</v>
      </c>
      <c r="IR22" s="34" t="e">
        <f>AND(#REF!,"AAAAAHr+rvs=")</f>
        <v>#REF!</v>
      </c>
      <c r="IS22" s="34" t="e">
        <f>AND(#REF!,"AAAAAHr+rvw=")</f>
        <v>#REF!</v>
      </c>
      <c r="IT22" s="34" t="e">
        <f>AND(#REF!,"AAAAAHr+rv0=")</f>
        <v>#REF!</v>
      </c>
      <c r="IU22" s="34" t="e">
        <f>AND(#REF!,"AAAAAHr+rv4=")</f>
        <v>#REF!</v>
      </c>
      <c r="IV22" s="34" t="e">
        <f>AND(#REF!,"AAAAAHr+rv8=")</f>
        <v>#REF!</v>
      </c>
    </row>
    <row r="23" spans="1:256" ht="12.75" customHeight="1" x14ac:dyDescent="0.2">
      <c r="A23" s="34" t="e">
        <f>AND(#REF!,"AAAAAAO+zwA=")</f>
        <v>#REF!</v>
      </c>
      <c r="B23" s="34" t="e">
        <f>AND(#REF!,"AAAAAAO+zwE=")</f>
        <v>#REF!</v>
      </c>
      <c r="C23" s="34" t="e">
        <f>AND(#REF!,"AAAAAAO+zwI=")</f>
        <v>#REF!</v>
      </c>
      <c r="D23" s="34" t="e">
        <f>AND(#REF!,"AAAAAAO+zwM=")</f>
        <v>#REF!</v>
      </c>
      <c r="E23" s="34" t="e">
        <f>AND(#REF!,"AAAAAAO+zwQ=")</f>
        <v>#REF!</v>
      </c>
      <c r="F23" s="34" t="e">
        <f>AND(#REF!,"AAAAAAO+zwU=")</f>
        <v>#REF!</v>
      </c>
      <c r="G23" s="34" t="e">
        <f>AND(#REF!,"AAAAAAO+zwY=")</f>
        <v>#REF!</v>
      </c>
      <c r="H23" s="34" t="e">
        <f>AND(#REF!,"AAAAAAO+zwc=")</f>
        <v>#REF!</v>
      </c>
      <c r="I23" s="34" t="e">
        <f>AND(#REF!,"AAAAAAO+zwg=")</f>
        <v>#REF!</v>
      </c>
      <c r="J23" s="34" t="e">
        <f>AND(#REF!,"AAAAAAO+zwk=")</f>
        <v>#REF!</v>
      </c>
      <c r="K23" s="34" t="e">
        <f>AND(#REF!,"AAAAAAO+zwo=")</f>
        <v>#REF!</v>
      </c>
      <c r="L23" s="34" t="e">
        <f>AND(#REF!,"AAAAAAO+zws=")</f>
        <v>#REF!</v>
      </c>
      <c r="M23" s="34" t="e">
        <f>AND(#REF!,"AAAAAAO+zww=")</f>
        <v>#REF!</v>
      </c>
      <c r="N23" s="34" t="e">
        <f>AND(#REF!,"AAAAAAO+zw0=")</f>
        <v>#REF!</v>
      </c>
      <c r="O23" s="34" t="e">
        <f>IF(#REF!,"AAAAAAO+zw4=",0)</f>
        <v>#REF!</v>
      </c>
      <c r="P23" s="34" t="e">
        <f>AND(#REF!,"AAAAAAO+zw8=")</f>
        <v>#REF!</v>
      </c>
      <c r="Q23" s="34" t="e">
        <f>AND(#REF!,"AAAAAAO+zxA=")</f>
        <v>#REF!</v>
      </c>
      <c r="R23" s="34" t="e">
        <f>AND(#REF!,"AAAAAAO+zxE=")</f>
        <v>#REF!</v>
      </c>
      <c r="S23" s="34" t="e">
        <f>AND(#REF!,"AAAAAAO+zxI=")</f>
        <v>#REF!</v>
      </c>
      <c r="T23" s="34" t="e">
        <f>AND(#REF!,"AAAAAAO+zxM=")</f>
        <v>#REF!</v>
      </c>
      <c r="U23" s="34" t="e">
        <f>AND(#REF!,"AAAAAAO+zxQ=")</f>
        <v>#REF!</v>
      </c>
      <c r="V23" s="34" t="e">
        <f>AND(#REF!,"AAAAAAO+zxU=")</f>
        <v>#REF!</v>
      </c>
      <c r="W23" s="34" t="e">
        <f>AND(#REF!,"AAAAAAO+zxY=")</f>
        <v>#REF!</v>
      </c>
      <c r="X23" s="34" t="e">
        <f>AND(#REF!,"AAAAAAO+zxc=")</f>
        <v>#REF!</v>
      </c>
      <c r="Y23" s="34" t="e">
        <f>AND(#REF!,"AAAAAAO+zxg=")</f>
        <v>#REF!</v>
      </c>
      <c r="Z23" s="34" t="e">
        <f>AND(#REF!,"AAAAAAO+zxk=")</f>
        <v>#REF!</v>
      </c>
      <c r="AA23" s="34" t="e">
        <f>AND(#REF!,"AAAAAAO+zxo=")</f>
        <v>#REF!</v>
      </c>
      <c r="AB23" s="34" t="e">
        <f>AND(#REF!,"AAAAAAO+zxs=")</f>
        <v>#REF!</v>
      </c>
      <c r="AC23" s="34" t="e">
        <f>AND(#REF!,"AAAAAAO+zxw=")</f>
        <v>#REF!</v>
      </c>
      <c r="AD23" s="34" t="e">
        <f>AND(#REF!,"AAAAAAO+zx0=")</f>
        <v>#REF!</v>
      </c>
      <c r="AE23" s="34" t="e">
        <f>AND(#REF!,"AAAAAAO+zx4=")</f>
        <v>#REF!</v>
      </c>
      <c r="AF23" s="34" t="e">
        <f>AND(#REF!,"AAAAAAO+zx8=")</f>
        <v>#REF!</v>
      </c>
      <c r="AG23" s="34" t="e">
        <f>AND(#REF!,"AAAAAAO+zyA=")</f>
        <v>#REF!</v>
      </c>
      <c r="AH23" s="34" t="e">
        <f>AND(#REF!,"AAAAAAO+zyE=")</f>
        <v>#REF!</v>
      </c>
      <c r="AI23" s="34" t="e">
        <f>AND(#REF!,"AAAAAAO+zyI=")</f>
        <v>#REF!</v>
      </c>
      <c r="AJ23" s="34" t="e">
        <f>AND(#REF!,"AAAAAAO+zyM=")</f>
        <v>#REF!</v>
      </c>
      <c r="AK23" s="34" t="e">
        <f>AND(#REF!,"AAAAAAO+zyQ=")</f>
        <v>#REF!</v>
      </c>
      <c r="AL23" s="34" t="e">
        <f>AND(#REF!,"AAAAAAO+zyU=")</f>
        <v>#REF!</v>
      </c>
      <c r="AM23" s="34" t="e">
        <f>AND(#REF!,"AAAAAAO+zyY=")</f>
        <v>#REF!</v>
      </c>
      <c r="AN23" s="34" t="e">
        <f>AND(#REF!,"AAAAAAO+zyc=")</f>
        <v>#REF!</v>
      </c>
      <c r="AO23" s="34" t="e">
        <f>AND(#REF!,"AAAAAAO+zyg=")</f>
        <v>#REF!</v>
      </c>
      <c r="AP23" s="34" t="e">
        <f>AND(#REF!,"AAAAAAO+zyk=")</f>
        <v>#REF!</v>
      </c>
      <c r="AQ23" s="34" t="e">
        <f>AND(#REF!,"AAAAAAO+zyo=")</f>
        <v>#REF!</v>
      </c>
      <c r="AR23" s="34" t="e">
        <f>AND(#REF!,"AAAAAAO+zys=")</f>
        <v>#REF!</v>
      </c>
      <c r="AS23" s="34" t="e">
        <f>AND(#REF!,"AAAAAAO+zyw=")</f>
        <v>#REF!</v>
      </c>
      <c r="AT23" s="34" t="e">
        <f>AND(#REF!,"AAAAAAO+zy0=")</f>
        <v>#REF!</v>
      </c>
      <c r="AU23" s="34" t="e">
        <f>AND(#REF!,"AAAAAAO+zy4=")</f>
        <v>#REF!</v>
      </c>
      <c r="AV23" s="34" t="e">
        <f>AND(#REF!,"AAAAAAO+zy8=")</f>
        <v>#REF!</v>
      </c>
      <c r="AW23" s="34" t="e">
        <f>AND(#REF!,"AAAAAAO+zzA=")</f>
        <v>#REF!</v>
      </c>
      <c r="AX23" s="34" t="e">
        <f>AND(#REF!,"AAAAAAO+zzE=")</f>
        <v>#REF!</v>
      </c>
      <c r="AY23" s="34" t="e">
        <f>AND(#REF!,"AAAAAAO+zzI=")</f>
        <v>#REF!</v>
      </c>
      <c r="AZ23" s="34" t="e">
        <f>AND(#REF!,"AAAAAAO+zzM=")</f>
        <v>#REF!</v>
      </c>
      <c r="BA23" s="34" t="e">
        <f>AND(#REF!,"AAAAAAO+zzQ=")</f>
        <v>#REF!</v>
      </c>
      <c r="BB23" s="34" t="e">
        <f>AND(#REF!,"AAAAAAO+zzU=")</f>
        <v>#REF!</v>
      </c>
      <c r="BC23" s="34" t="e">
        <f>AND(#REF!,"AAAAAAO+zzY=")</f>
        <v>#REF!</v>
      </c>
      <c r="BD23" s="34" t="e">
        <f>AND(#REF!,"AAAAAAO+zzc=")</f>
        <v>#REF!</v>
      </c>
      <c r="BE23" s="34" t="e">
        <f>AND(#REF!,"AAAAAAO+zzg=")</f>
        <v>#REF!</v>
      </c>
      <c r="BF23" s="34" t="e">
        <f>AND(#REF!,"AAAAAAO+zzk=")</f>
        <v>#REF!</v>
      </c>
      <c r="BG23" s="34" t="e">
        <f>AND(#REF!,"AAAAAAO+zzo=")</f>
        <v>#REF!</v>
      </c>
      <c r="BH23" s="34" t="e">
        <f>AND(#REF!,"AAAAAAO+zzs=")</f>
        <v>#REF!</v>
      </c>
      <c r="BI23" s="34" t="e">
        <f>AND(#REF!,"AAAAAAO+zzw=")</f>
        <v>#REF!</v>
      </c>
      <c r="BJ23" s="34" t="e">
        <f>AND(#REF!,"AAAAAAO+zz0=")</f>
        <v>#REF!</v>
      </c>
      <c r="BK23" s="34" t="e">
        <f>AND(#REF!,"AAAAAAO+zz4=")</f>
        <v>#REF!</v>
      </c>
      <c r="BL23" s="34" t="e">
        <f>AND(#REF!,"AAAAAAO+zz8=")</f>
        <v>#REF!</v>
      </c>
      <c r="BM23" s="34" t="e">
        <f>AND(#REF!,"AAAAAAO+z0A=")</f>
        <v>#REF!</v>
      </c>
      <c r="BN23" s="34" t="e">
        <f>AND(#REF!,"AAAAAAO+z0E=")</f>
        <v>#REF!</v>
      </c>
      <c r="BO23" s="34" t="e">
        <f>AND(#REF!,"AAAAAAO+z0I=")</f>
        <v>#REF!</v>
      </c>
      <c r="BP23" s="34" t="e">
        <f>AND(#REF!,"AAAAAAO+z0M=")</f>
        <v>#REF!</v>
      </c>
      <c r="BQ23" s="34" t="e">
        <f>AND(#REF!,"AAAAAAO+z0Q=")</f>
        <v>#REF!</v>
      </c>
      <c r="BR23" s="34" t="e">
        <f>AND(#REF!,"AAAAAAO+z0U=")</f>
        <v>#REF!</v>
      </c>
      <c r="BS23" s="34" t="e">
        <f>AND(#REF!,"AAAAAAO+z0Y=")</f>
        <v>#REF!</v>
      </c>
      <c r="BT23" s="34" t="e">
        <f>AND(#REF!,"AAAAAAO+z0c=")</f>
        <v>#REF!</v>
      </c>
      <c r="BU23" s="34" t="e">
        <f>AND(#REF!,"AAAAAAO+z0g=")</f>
        <v>#REF!</v>
      </c>
      <c r="BV23" s="34" t="e">
        <f>AND(#REF!,"AAAAAAO+z0k=")</f>
        <v>#REF!</v>
      </c>
      <c r="BW23" s="34" t="e">
        <f>AND(#REF!,"AAAAAAO+z0o=")</f>
        <v>#REF!</v>
      </c>
      <c r="BX23" s="34" t="e">
        <f>AND(#REF!,"AAAAAAO+z0s=")</f>
        <v>#REF!</v>
      </c>
      <c r="BY23" s="34" t="e">
        <f>AND(#REF!,"AAAAAAO+z0w=")</f>
        <v>#REF!</v>
      </c>
      <c r="BZ23" s="34" t="e">
        <f>AND(#REF!,"AAAAAAO+z00=")</f>
        <v>#REF!</v>
      </c>
      <c r="CA23" s="34" t="e">
        <f>AND(#REF!,"AAAAAAO+z04=")</f>
        <v>#REF!</v>
      </c>
      <c r="CB23" s="34" t="e">
        <f>AND(#REF!,"AAAAAAO+z08=")</f>
        <v>#REF!</v>
      </c>
      <c r="CC23" s="34" t="e">
        <f>AND(#REF!,"AAAAAAO+z1A=")</f>
        <v>#REF!</v>
      </c>
      <c r="CD23" s="34" t="e">
        <f>AND(#REF!,"AAAAAAO+z1E=")</f>
        <v>#REF!</v>
      </c>
      <c r="CE23" s="34" t="e">
        <f>AND(#REF!,"AAAAAAO+z1I=")</f>
        <v>#REF!</v>
      </c>
      <c r="CF23" s="34" t="e">
        <f>AND(#REF!,"AAAAAAO+z1M=")</f>
        <v>#REF!</v>
      </c>
      <c r="CG23" s="34" t="e">
        <f>AND(#REF!,"AAAAAAO+z1Q=")</f>
        <v>#REF!</v>
      </c>
      <c r="CH23" s="34" t="e">
        <f>AND(#REF!,"AAAAAAO+z1U=")</f>
        <v>#REF!</v>
      </c>
      <c r="CI23" s="34" t="e">
        <f>AND(#REF!,"AAAAAAO+z1Y=")</f>
        <v>#REF!</v>
      </c>
      <c r="CJ23" s="34" t="e">
        <f>IF(#REF!,"AAAAAAO+z1c=",0)</f>
        <v>#REF!</v>
      </c>
      <c r="CK23" s="34" t="e">
        <f>AND(#REF!,"AAAAAAO+z1g=")</f>
        <v>#REF!</v>
      </c>
      <c r="CL23" s="34" t="e">
        <f>AND(#REF!,"AAAAAAO+z1k=")</f>
        <v>#REF!</v>
      </c>
      <c r="CM23" s="34" t="e">
        <f>AND(#REF!,"AAAAAAO+z1o=")</f>
        <v>#REF!</v>
      </c>
      <c r="CN23" s="34" t="e">
        <f>AND(#REF!,"AAAAAAO+z1s=")</f>
        <v>#REF!</v>
      </c>
      <c r="CO23" s="34" t="e">
        <f>AND(#REF!,"AAAAAAO+z1w=")</f>
        <v>#REF!</v>
      </c>
      <c r="CP23" s="34" t="e">
        <f>AND(#REF!,"AAAAAAO+z10=")</f>
        <v>#REF!</v>
      </c>
      <c r="CQ23" s="34" t="e">
        <f>AND(#REF!,"AAAAAAO+z14=")</f>
        <v>#REF!</v>
      </c>
      <c r="CR23" s="34" t="e">
        <f>AND(#REF!,"AAAAAAO+z18=")</f>
        <v>#REF!</v>
      </c>
      <c r="CS23" s="34" t="e">
        <f>AND(#REF!,"AAAAAAO+z2A=")</f>
        <v>#REF!</v>
      </c>
      <c r="CT23" s="34" t="e">
        <f>AND(#REF!,"AAAAAAO+z2E=")</f>
        <v>#REF!</v>
      </c>
      <c r="CU23" s="34" t="e">
        <f>AND(#REF!,"AAAAAAO+z2I=")</f>
        <v>#REF!</v>
      </c>
      <c r="CV23" s="34" t="e">
        <f>AND(#REF!,"AAAAAAO+z2M=")</f>
        <v>#REF!</v>
      </c>
      <c r="CW23" s="34" t="e">
        <f>AND(#REF!,"AAAAAAO+z2Q=")</f>
        <v>#REF!</v>
      </c>
      <c r="CX23" s="34" t="e">
        <f>AND(#REF!,"AAAAAAO+z2U=")</f>
        <v>#REF!</v>
      </c>
      <c r="CY23" s="34" t="e">
        <f>AND(#REF!,"AAAAAAO+z2Y=")</f>
        <v>#REF!</v>
      </c>
      <c r="CZ23" s="34" t="e">
        <f>AND(#REF!,"AAAAAAO+z2c=")</f>
        <v>#REF!</v>
      </c>
      <c r="DA23" s="34" t="e">
        <f>AND(#REF!,"AAAAAAO+z2g=")</f>
        <v>#REF!</v>
      </c>
      <c r="DB23" s="34" t="e">
        <f>AND(#REF!,"AAAAAAO+z2k=")</f>
        <v>#REF!</v>
      </c>
      <c r="DC23" s="34" t="e">
        <f>AND(#REF!,"AAAAAAO+z2o=")</f>
        <v>#REF!</v>
      </c>
      <c r="DD23" s="34" t="e">
        <f>AND(#REF!,"AAAAAAO+z2s=")</f>
        <v>#REF!</v>
      </c>
      <c r="DE23" s="34" t="e">
        <f>AND(#REF!,"AAAAAAO+z2w=")</f>
        <v>#REF!</v>
      </c>
      <c r="DF23" s="34" t="e">
        <f>AND(#REF!,"AAAAAAO+z20=")</f>
        <v>#REF!</v>
      </c>
      <c r="DG23" s="34" t="e">
        <f>AND(#REF!,"AAAAAAO+z24=")</f>
        <v>#REF!</v>
      </c>
      <c r="DH23" s="34" t="e">
        <f>AND(#REF!,"AAAAAAO+z28=")</f>
        <v>#REF!</v>
      </c>
      <c r="DI23" s="34" t="e">
        <f>AND(#REF!,"AAAAAAO+z3A=")</f>
        <v>#REF!</v>
      </c>
      <c r="DJ23" s="34" t="e">
        <f>AND(#REF!,"AAAAAAO+z3E=")</f>
        <v>#REF!</v>
      </c>
      <c r="DK23" s="34" t="e">
        <f>AND(#REF!,"AAAAAAO+z3I=")</f>
        <v>#REF!</v>
      </c>
      <c r="DL23" s="34" t="e">
        <f>AND(#REF!,"AAAAAAO+z3M=")</f>
        <v>#REF!</v>
      </c>
      <c r="DM23" s="34" t="e">
        <f>AND(#REF!,"AAAAAAO+z3Q=")</f>
        <v>#REF!</v>
      </c>
      <c r="DN23" s="34" t="e">
        <f>AND(#REF!,"AAAAAAO+z3U=")</f>
        <v>#REF!</v>
      </c>
      <c r="DO23" s="34" t="e">
        <f>AND(#REF!,"AAAAAAO+z3Y=")</f>
        <v>#REF!</v>
      </c>
      <c r="DP23" s="34" t="e">
        <f>AND(#REF!,"AAAAAAO+z3c=")</f>
        <v>#REF!</v>
      </c>
      <c r="DQ23" s="34" t="e">
        <f>AND(#REF!,"AAAAAAO+z3g=")</f>
        <v>#REF!</v>
      </c>
      <c r="DR23" s="34" t="e">
        <f>AND(#REF!,"AAAAAAO+z3k=")</f>
        <v>#REF!</v>
      </c>
      <c r="DS23" s="34" t="e">
        <f>AND(#REF!,"AAAAAAO+z3o=")</f>
        <v>#REF!</v>
      </c>
      <c r="DT23" s="34" t="e">
        <f>AND(#REF!,"AAAAAAO+z3s=")</f>
        <v>#REF!</v>
      </c>
      <c r="DU23" s="34" t="e">
        <f>AND(#REF!,"AAAAAAO+z3w=")</f>
        <v>#REF!</v>
      </c>
      <c r="DV23" s="34" t="e">
        <f>AND(#REF!,"AAAAAAO+z30=")</f>
        <v>#REF!</v>
      </c>
      <c r="DW23" s="34" t="e">
        <f>AND(#REF!,"AAAAAAO+z34=")</f>
        <v>#REF!</v>
      </c>
      <c r="DX23" s="34" t="e">
        <f>AND(#REF!,"AAAAAAO+z38=")</f>
        <v>#REF!</v>
      </c>
      <c r="DY23" s="34" t="e">
        <f>AND(#REF!,"AAAAAAO+z4A=")</f>
        <v>#REF!</v>
      </c>
      <c r="DZ23" s="34" t="e">
        <f>AND(#REF!,"AAAAAAO+z4E=")</f>
        <v>#REF!</v>
      </c>
      <c r="EA23" s="34" t="e">
        <f>AND(#REF!,"AAAAAAO+z4I=")</f>
        <v>#REF!</v>
      </c>
      <c r="EB23" s="34" t="e">
        <f>AND(#REF!,"AAAAAAO+z4M=")</f>
        <v>#REF!</v>
      </c>
      <c r="EC23" s="34" t="e">
        <f>AND(#REF!,"AAAAAAO+z4Q=")</f>
        <v>#REF!</v>
      </c>
      <c r="ED23" s="34" t="e">
        <f>AND(#REF!,"AAAAAAO+z4U=")</f>
        <v>#REF!</v>
      </c>
      <c r="EE23" s="34" t="e">
        <f>AND(#REF!,"AAAAAAO+z4Y=")</f>
        <v>#REF!</v>
      </c>
      <c r="EF23" s="34" t="e">
        <f>AND(#REF!,"AAAAAAO+z4c=")</f>
        <v>#REF!</v>
      </c>
      <c r="EG23" s="34" t="e">
        <f>AND(#REF!,"AAAAAAO+z4g=")</f>
        <v>#REF!</v>
      </c>
      <c r="EH23" s="34" t="e">
        <f>AND(#REF!,"AAAAAAO+z4k=")</f>
        <v>#REF!</v>
      </c>
      <c r="EI23" s="34" t="e">
        <f>AND(#REF!,"AAAAAAO+z4o=")</f>
        <v>#REF!</v>
      </c>
      <c r="EJ23" s="34" t="e">
        <f>AND(#REF!,"AAAAAAO+z4s=")</f>
        <v>#REF!</v>
      </c>
      <c r="EK23" s="34" t="e">
        <f>AND(#REF!,"AAAAAAO+z4w=")</f>
        <v>#REF!</v>
      </c>
      <c r="EL23" s="34" t="e">
        <f>AND(#REF!,"AAAAAAO+z40=")</f>
        <v>#REF!</v>
      </c>
      <c r="EM23" s="34" t="e">
        <f>AND(#REF!,"AAAAAAO+z44=")</f>
        <v>#REF!</v>
      </c>
      <c r="EN23" s="34" t="e">
        <f>AND(#REF!,"AAAAAAO+z48=")</f>
        <v>#REF!</v>
      </c>
      <c r="EO23" s="34" t="e">
        <f>AND(#REF!,"AAAAAAO+z5A=")</f>
        <v>#REF!</v>
      </c>
      <c r="EP23" s="34" t="e">
        <f>AND(#REF!,"AAAAAAO+z5E=")</f>
        <v>#REF!</v>
      </c>
      <c r="EQ23" s="34" t="e">
        <f>AND(#REF!,"AAAAAAO+z5I=")</f>
        <v>#REF!</v>
      </c>
      <c r="ER23" s="34" t="e">
        <f>AND(#REF!,"AAAAAAO+z5M=")</f>
        <v>#REF!</v>
      </c>
      <c r="ES23" s="34" t="e">
        <f>AND(#REF!,"AAAAAAO+z5Q=")</f>
        <v>#REF!</v>
      </c>
      <c r="ET23" s="34" t="e">
        <f>AND(#REF!,"AAAAAAO+z5U=")</f>
        <v>#REF!</v>
      </c>
      <c r="EU23" s="34" t="e">
        <f>AND(#REF!,"AAAAAAO+z5Y=")</f>
        <v>#REF!</v>
      </c>
      <c r="EV23" s="34" t="e">
        <f>AND(#REF!,"AAAAAAO+z5c=")</f>
        <v>#REF!</v>
      </c>
      <c r="EW23" s="34" t="e">
        <f>AND(#REF!,"AAAAAAO+z5g=")</f>
        <v>#REF!</v>
      </c>
      <c r="EX23" s="34" t="e">
        <f>AND(#REF!,"AAAAAAO+z5k=")</f>
        <v>#REF!</v>
      </c>
      <c r="EY23" s="34" t="e">
        <f>AND(#REF!,"AAAAAAO+z5o=")</f>
        <v>#REF!</v>
      </c>
      <c r="EZ23" s="34" t="e">
        <f>AND(#REF!,"AAAAAAO+z5s=")</f>
        <v>#REF!</v>
      </c>
      <c r="FA23" s="34" t="e">
        <f>AND(#REF!,"AAAAAAO+z5w=")</f>
        <v>#REF!</v>
      </c>
      <c r="FB23" s="34" t="e">
        <f>AND(#REF!,"AAAAAAO+z50=")</f>
        <v>#REF!</v>
      </c>
      <c r="FC23" s="34" t="e">
        <f>AND(#REF!,"AAAAAAO+z54=")</f>
        <v>#REF!</v>
      </c>
      <c r="FD23" s="34" t="e">
        <f>AND(#REF!,"AAAAAAO+z58=")</f>
        <v>#REF!</v>
      </c>
      <c r="FE23" s="34" t="e">
        <f>IF(#REF!,"AAAAAAO+z6A=",0)</f>
        <v>#REF!</v>
      </c>
      <c r="FF23" s="34" t="e">
        <f>AND(#REF!,"AAAAAAO+z6E=")</f>
        <v>#REF!</v>
      </c>
      <c r="FG23" s="34" t="e">
        <f>AND(#REF!,"AAAAAAO+z6I=")</f>
        <v>#REF!</v>
      </c>
      <c r="FH23" s="34" t="e">
        <f>AND(#REF!,"AAAAAAO+z6M=")</f>
        <v>#REF!</v>
      </c>
      <c r="FI23" s="34" t="e">
        <f>AND(#REF!,"AAAAAAO+z6Q=")</f>
        <v>#REF!</v>
      </c>
      <c r="FJ23" s="34" t="e">
        <f>AND(#REF!,"AAAAAAO+z6U=")</f>
        <v>#REF!</v>
      </c>
      <c r="FK23" s="34" t="e">
        <f>AND(#REF!,"AAAAAAO+z6Y=")</f>
        <v>#REF!</v>
      </c>
      <c r="FL23" s="34" t="e">
        <f>AND(#REF!,"AAAAAAO+z6c=")</f>
        <v>#REF!</v>
      </c>
      <c r="FM23" s="34" t="e">
        <f>AND(#REF!,"AAAAAAO+z6g=")</f>
        <v>#REF!</v>
      </c>
      <c r="FN23" s="34" t="e">
        <f>AND(#REF!,"AAAAAAO+z6k=")</f>
        <v>#REF!</v>
      </c>
      <c r="FO23" s="34" t="e">
        <f>AND(#REF!,"AAAAAAO+z6o=")</f>
        <v>#REF!</v>
      </c>
      <c r="FP23" s="34" t="e">
        <f>AND(#REF!,"AAAAAAO+z6s=")</f>
        <v>#REF!</v>
      </c>
      <c r="FQ23" s="34" t="e">
        <f>AND(#REF!,"AAAAAAO+z6w=")</f>
        <v>#REF!</v>
      </c>
      <c r="FR23" s="34" t="e">
        <f>AND(#REF!,"AAAAAAO+z60=")</f>
        <v>#REF!</v>
      </c>
      <c r="FS23" s="34" t="e">
        <f>AND(#REF!,"AAAAAAO+z64=")</f>
        <v>#REF!</v>
      </c>
      <c r="FT23" s="34" t="e">
        <f>AND(#REF!,"AAAAAAO+z68=")</f>
        <v>#REF!</v>
      </c>
      <c r="FU23" s="34" t="e">
        <f>AND(#REF!,"AAAAAAO+z7A=")</f>
        <v>#REF!</v>
      </c>
      <c r="FV23" s="34" t="e">
        <f>AND(#REF!,"AAAAAAO+z7E=")</f>
        <v>#REF!</v>
      </c>
      <c r="FW23" s="34" t="e">
        <f>AND(#REF!,"AAAAAAO+z7I=")</f>
        <v>#REF!</v>
      </c>
      <c r="FX23" s="34" t="e">
        <f>AND(#REF!,"AAAAAAO+z7M=")</f>
        <v>#REF!</v>
      </c>
      <c r="FY23" s="34" t="e">
        <f>AND(#REF!,"AAAAAAO+z7Q=")</f>
        <v>#REF!</v>
      </c>
      <c r="FZ23" s="34" t="e">
        <f>AND(#REF!,"AAAAAAO+z7U=")</f>
        <v>#REF!</v>
      </c>
      <c r="GA23" s="34" t="e">
        <f>AND(#REF!,"AAAAAAO+z7Y=")</f>
        <v>#REF!</v>
      </c>
      <c r="GB23" s="34" t="e">
        <f>AND(#REF!,"AAAAAAO+z7c=")</f>
        <v>#REF!</v>
      </c>
      <c r="GC23" s="34" t="e">
        <f>AND(#REF!,"AAAAAAO+z7g=")</f>
        <v>#REF!</v>
      </c>
      <c r="GD23" s="34" t="e">
        <f>AND(#REF!,"AAAAAAO+z7k=")</f>
        <v>#REF!</v>
      </c>
      <c r="GE23" s="34" t="e">
        <f>AND(#REF!,"AAAAAAO+z7o=")</f>
        <v>#REF!</v>
      </c>
      <c r="GF23" s="34" t="e">
        <f>AND(#REF!,"AAAAAAO+z7s=")</f>
        <v>#REF!</v>
      </c>
      <c r="GG23" s="34" t="e">
        <f>AND(#REF!,"AAAAAAO+z7w=")</f>
        <v>#REF!</v>
      </c>
      <c r="GH23" s="34" t="e">
        <f>AND(#REF!,"AAAAAAO+z70=")</f>
        <v>#REF!</v>
      </c>
      <c r="GI23" s="34" t="e">
        <f>AND(#REF!,"AAAAAAO+z74=")</f>
        <v>#REF!</v>
      </c>
      <c r="GJ23" s="34" t="e">
        <f>AND(#REF!,"AAAAAAO+z78=")</f>
        <v>#REF!</v>
      </c>
      <c r="GK23" s="34" t="e">
        <f>AND(#REF!,"AAAAAAO+z8A=")</f>
        <v>#REF!</v>
      </c>
      <c r="GL23" s="34" t="e">
        <f>AND(#REF!,"AAAAAAO+z8E=")</f>
        <v>#REF!</v>
      </c>
      <c r="GM23" s="34" t="e">
        <f>AND(#REF!,"AAAAAAO+z8I=")</f>
        <v>#REF!</v>
      </c>
      <c r="GN23" s="34" t="e">
        <f>AND(#REF!,"AAAAAAO+z8M=")</f>
        <v>#REF!</v>
      </c>
      <c r="GO23" s="34" t="e">
        <f>AND(#REF!,"AAAAAAO+z8Q=")</f>
        <v>#REF!</v>
      </c>
      <c r="GP23" s="34" t="e">
        <f>AND(#REF!,"AAAAAAO+z8U=")</f>
        <v>#REF!</v>
      </c>
      <c r="GQ23" s="34" t="e">
        <f>AND(#REF!,"AAAAAAO+z8Y=")</f>
        <v>#REF!</v>
      </c>
      <c r="GR23" s="34" t="e">
        <f>AND(#REF!,"AAAAAAO+z8c=")</f>
        <v>#REF!</v>
      </c>
      <c r="GS23" s="34" t="e">
        <f>AND(#REF!,"AAAAAAO+z8g=")</f>
        <v>#REF!</v>
      </c>
      <c r="GT23" s="34" t="e">
        <f>AND(#REF!,"AAAAAAO+z8k=")</f>
        <v>#REF!</v>
      </c>
      <c r="GU23" s="34" t="e">
        <f>AND(#REF!,"AAAAAAO+z8o=")</f>
        <v>#REF!</v>
      </c>
      <c r="GV23" s="34" t="e">
        <f>AND(#REF!,"AAAAAAO+z8s=")</f>
        <v>#REF!</v>
      </c>
      <c r="GW23" s="34" t="e">
        <f>AND(#REF!,"AAAAAAO+z8w=")</f>
        <v>#REF!</v>
      </c>
      <c r="GX23" s="34" t="e">
        <f>AND(#REF!,"AAAAAAO+z80=")</f>
        <v>#REF!</v>
      </c>
      <c r="GY23" s="34" t="e">
        <f>AND(#REF!,"AAAAAAO+z84=")</f>
        <v>#REF!</v>
      </c>
      <c r="GZ23" s="34" t="e">
        <f>AND(#REF!,"AAAAAAO+z88=")</f>
        <v>#REF!</v>
      </c>
      <c r="HA23" s="34" t="e">
        <f>AND(#REF!,"AAAAAAO+z9A=")</f>
        <v>#REF!</v>
      </c>
      <c r="HB23" s="34" t="e">
        <f>AND(#REF!,"AAAAAAO+z9E=")</f>
        <v>#REF!</v>
      </c>
      <c r="HC23" s="34" t="e">
        <f>AND(#REF!,"AAAAAAO+z9I=")</f>
        <v>#REF!</v>
      </c>
      <c r="HD23" s="34" t="e">
        <f>AND(#REF!,"AAAAAAO+z9M=")</f>
        <v>#REF!</v>
      </c>
      <c r="HE23" s="34" t="e">
        <f>AND(#REF!,"AAAAAAO+z9Q=")</f>
        <v>#REF!</v>
      </c>
      <c r="HF23" s="34" t="e">
        <f>AND(#REF!,"AAAAAAO+z9U=")</f>
        <v>#REF!</v>
      </c>
      <c r="HG23" s="34" t="e">
        <f>AND(#REF!,"AAAAAAO+z9Y=")</f>
        <v>#REF!</v>
      </c>
      <c r="HH23" s="34" t="e">
        <f>AND(#REF!,"AAAAAAO+z9c=")</f>
        <v>#REF!</v>
      </c>
      <c r="HI23" s="34" t="e">
        <f>AND(#REF!,"AAAAAAO+z9g=")</f>
        <v>#REF!</v>
      </c>
      <c r="HJ23" s="34" t="e">
        <f>AND(#REF!,"AAAAAAO+z9k=")</f>
        <v>#REF!</v>
      </c>
      <c r="HK23" s="34" t="e">
        <f>AND(#REF!,"AAAAAAO+z9o=")</f>
        <v>#REF!</v>
      </c>
      <c r="HL23" s="34" t="e">
        <f>AND(#REF!,"AAAAAAO+z9s=")</f>
        <v>#REF!</v>
      </c>
      <c r="HM23" s="34" t="e">
        <f>AND(#REF!,"AAAAAAO+z9w=")</f>
        <v>#REF!</v>
      </c>
      <c r="HN23" s="34" t="e">
        <f>AND(#REF!,"AAAAAAO+z90=")</f>
        <v>#REF!</v>
      </c>
      <c r="HO23" s="34" t="e">
        <f>AND(#REF!,"AAAAAAO+z94=")</f>
        <v>#REF!</v>
      </c>
      <c r="HP23" s="34" t="e">
        <f>AND(#REF!,"AAAAAAO+z98=")</f>
        <v>#REF!</v>
      </c>
      <c r="HQ23" s="34" t="e">
        <f>AND(#REF!,"AAAAAAO+z+A=")</f>
        <v>#REF!</v>
      </c>
      <c r="HR23" s="34" t="e">
        <f>AND(#REF!,"AAAAAAO+z+E=")</f>
        <v>#REF!</v>
      </c>
      <c r="HS23" s="34" t="e">
        <f>AND(#REF!,"AAAAAAO+z+I=")</f>
        <v>#REF!</v>
      </c>
      <c r="HT23" s="34" t="e">
        <f>AND(#REF!,"AAAAAAO+z+M=")</f>
        <v>#REF!</v>
      </c>
      <c r="HU23" s="34" t="e">
        <f>AND(#REF!,"AAAAAAO+z+Q=")</f>
        <v>#REF!</v>
      </c>
      <c r="HV23" s="34" t="e">
        <f>AND(#REF!,"AAAAAAO+z+U=")</f>
        <v>#REF!</v>
      </c>
      <c r="HW23" s="34" t="e">
        <f>AND(#REF!,"AAAAAAO+z+Y=")</f>
        <v>#REF!</v>
      </c>
      <c r="HX23" s="34" t="e">
        <f>AND(#REF!,"AAAAAAO+z+c=")</f>
        <v>#REF!</v>
      </c>
      <c r="HY23" s="34" t="e">
        <f>AND(#REF!,"AAAAAAO+z+g=")</f>
        <v>#REF!</v>
      </c>
      <c r="HZ23" s="34" t="e">
        <f>IF(#REF!,"AAAAAAO+z+k=",0)</f>
        <v>#REF!</v>
      </c>
      <c r="IA23" s="34" t="e">
        <f>AND(#REF!,"AAAAAAO+z+o=")</f>
        <v>#REF!</v>
      </c>
      <c r="IB23" s="34" t="e">
        <f>AND(#REF!,"AAAAAAO+z+s=")</f>
        <v>#REF!</v>
      </c>
      <c r="IC23" s="34" t="e">
        <f>AND(#REF!,"AAAAAAO+z+w=")</f>
        <v>#REF!</v>
      </c>
      <c r="ID23" s="34" t="e">
        <f>AND(#REF!,"AAAAAAO+z+0=")</f>
        <v>#REF!</v>
      </c>
      <c r="IE23" s="34" t="e">
        <f>AND(#REF!,"AAAAAAO+z+4=")</f>
        <v>#REF!</v>
      </c>
      <c r="IF23" s="34" t="e">
        <f>AND(#REF!,"AAAAAAO+z+8=")</f>
        <v>#REF!</v>
      </c>
      <c r="IG23" s="34" t="e">
        <f>AND(#REF!,"AAAAAAO+z/A=")</f>
        <v>#REF!</v>
      </c>
      <c r="IH23" s="34" t="e">
        <f>AND(#REF!,"AAAAAAO+z/E=")</f>
        <v>#REF!</v>
      </c>
      <c r="II23" s="34" t="e">
        <f>AND(#REF!,"AAAAAAO+z/I=")</f>
        <v>#REF!</v>
      </c>
      <c r="IJ23" s="34" t="e">
        <f>AND(#REF!,"AAAAAAO+z/M=")</f>
        <v>#REF!</v>
      </c>
      <c r="IK23" s="34" t="e">
        <f>AND(#REF!,"AAAAAAO+z/Q=")</f>
        <v>#REF!</v>
      </c>
      <c r="IL23" s="34" t="e">
        <f>AND(#REF!,"AAAAAAO+z/U=")</f>
        <v>#REF!</v>
      </c>
      <c r="IM23" s="34" t="e">
        <f>AND(#REF!,"AAAAAAO+z/Y=")</f>
        <v>#REF!</v>
      </c>
      <c r="IN23" s="34" t="e">
        <f>AND(#REF!,"AAAAAAO+z/c=")</f>
        <v>#REF!</v>
      </c>
      <c r="IO23" s="34" t="e">
        <f>AND(#REF!,"AAAAAAO+z/g=")</f>
        <v>#REF!</v>
      </c>
      <c r="IP23" s="34" t="e">
        <f>AND(#REF!,"AAAAAAO+z/k=")</f>
        <v>#REF!</v>
      </c>
      <c r="IQ23" s="34" t="e">
        <f>AND(#REF!,"AAAAAAO+z/o=")</f>
        <v>#REF!</v>
      </c>
      <c r="IR23" s="34" t="e">
        <f>AND(#REF!,"AAAAAAO+z/s=")</f>
        <v>#REF!</v>
      </c>
      <c r="IS23" s="34" t="e">
        <f>AND(#REF!,"AAAAAAO+z/w=")</f>
        <v>#REF!</v>
      </c>
      <c r="IT23" s="34" t="e">
        <f>AND(#REF!,"AAAAAAO+z/0=")</f>
        <v>#REF!</v>
      </c>
      <c r="IU23" s="34" t="e">
        <f>AND(#REF!,"AAAAAAO+z/4=")</f>
        <v>#REF!</v>
      </c>
      <c r="IV23" s="34" t="e">
        <f>AND(#REF!,"AAAAAAO+z/8=")</f>
        <v>#REF!</v>
      </c>
    </row>
    <row r="24" spans="1:256" ht="12.75" customHeight="1" x14ac:dyDescent="0.2">
      <c r="A24" s="34" t="e">
        <f>AND(#REF!,"AAAAAC7eugA=")</f>
        <v>#REF!</v>
      </c>
      <c r="B24" s="34" t="e">
        <f>AND(#REF!,"AAAAAC7eugE=")</f>
        <v>#REF!</v>
      </c>
      <c r="C24" s="34" t="e">
        <f>AND(#REF!,"AAAAAC7eugI=")</f>
        <v>#REF!</v>
      </c>
      <c r="D24" s="34" t="e">
        <f>AND(#REF!,"AAAAAC7eugM=")</f>
        <v>#REF!</v>
      </c>
      <c r="E24" s="34" t="e">
        <f>AND(#REF!,"AAAAAC7eugQ=")</f>
        <v>#REF!</v>
      </c>
      <c r="F24" s="34" t="e">
        <f>AND(#REF!,"AAAAAC7eugU=")</f>
        <v>#REF!</v>
      </c>
      <c r="G24" s="34" t="e">
        <f>AND(#REF!,"AAAAAC7eugY=")</f>
        <v>#REF!</v>
      </c>
      <c r="H24" s="34" t="e">
        <f>AND(#REF!,"AAAAAC7eugc=")</f>
        <v>#REF!</v>
      </c>
      <c r="I24" s="34" t="e">
        <f>AND(#REF!,"AAAAAC7eugg=")</f>
        <v>#REF!</v>
      </c>
      <c r="J24" s="34" t="e">
        <f>AND(#REF!,"AAAAAC7eugk=")</f>
        <v>#REF!</v>
      </c>
      <c r="K24" s="34" t="e">
        <f>AND(#REF!,"AAAAAC7eugo=")</f>
        <v>#REF!</v>
      </c>
      <c r="L24" s="34" t="e">
        <f>AND(#REF!,"AAAAAC7eugs=")</f>
        <v>#REF!</v>
      </c>
      <c r="M24" s="34" t="e">
        <f>AND(#REF!,"AAAAAC7eugw=")</f>
        <v>#REF!</v>
      </c>
      <c r="N24" s="34" t="e">
        <f>AND(#REF!,"AAAAAC7eug0=")</f>
        <v>#REF!</v>
      </c>
      <c r="O24" s="34" t="e">
        <f>AND(#REF!,"AAAAAC7eug4=")</f>
        <v>#REF!</v>
      </c>
      <c r="P24" s="34" t="e">
        <f>AND(#REF!,"AAAAAC7eug8=")</f>
        <v>#REF!</v>
      </c>
      <c r="Q24" s="34" t="e">
        <f>AND(#REF!,"AAAAAC7euhA=")</f>
        <v>#REF!</v>
      </c>
      <c r="R24" s="34" t="e">
        <f>AND(#REF!,"AAAAAC7euhE=")</f>
        <v>#REF!</v>
      </c>
      <c r="S24" s="34" t="e">
        <f>AND(#REF!,"AAAAAC7euhI=")</f>
        <v>#REF!</v>
      </c>
      <c r="T24" s="34" t="e">
        <f>AND(#REF!,"AAAAAC7euhM=")</f>
        <v>#REF!</v>
      </c>
      <c r="U24" s="34" t="e">
        <f>AND(#REF!,"AAAAAC7euhQ=")</f>
        <v>#REF!</v>
      </c>
      <c r="V24" s="34" t="e">
        <f>AND(#REF!,"AAAAAC7euhU=")</f>
        <v>#REF!</v>
      </c>
      <c r="W24" s="34" t="e">
        <f>AND(#REF!,"AAAAAC7euhY=")</f>
        <v>#REF!</v>
      </c>
      <c r="X24" s="34" t="e">
        <f>AND(#REF!,"AAAAAC7euhc=")</f>
        <v>#REF!</v>
      </c>
      <c r="Y24" s="34" t="e">
        <f>AND(#REF!,"AAAAAC7euhg=")</f>
        <v>#REF!</v>
      </c>
      <c r="Z24" s="34" t="e">
        <f>AND(#REF!,"AAAAAC7euhk=")</f>
        <v>#REF!</v>
      </c>
      <c r="AA24" s="34" t="e">
        <f>AND(#REF!,"AAAAAC7euho=")</f>
        <v>#REF!</v>
      </c>
      <c r="AB24" s="34" t="e">
        <f>AND(#REF!,"AAAAAC7euhs=")</f>
        <v>#REF!</v>
      </c>
      <c r="AC24" s="34" t="e">
        <f>AND(#REF!,"AAAAAC7euhw=")</f>
        <v>#REF!</v>
      </c>
      <c r="AD24" s="34" t="e">
        <f>AND(#REF!,"AAAAAC7euh0=")</f>
        <v>#REF!</v>
      </c>
      <c r="AE24" s="34" t="e">
        <f>AND(#REF!,"AAAAAC7euh4=")</f>
        <v>#REF!</v>
      </c>
      <c r="AF24" s="34" t="e">
        <f>AND(#REF!,"AAAAAC7euh8=")</f>
        <v>#REF!</v>
      </c>
      <c r="AG24" s="34" t="e">
        <f>AND(#REF!,"AAAAAC7euiA=")</f>
        <v>#REF!</v>
      </c>
      <c r="AH24" s="34" t="e">
        <f>AND(#REF!,"AAAAAC7euiE=")</f>
        <v>#REF!</v>
      </c>
      <c r="AI24" s="34" t="e">
        <f>AND(#REF!,"AAAAAC7euiI=")</f>
        <v>#REF!</v>
      </c>
      <c r="AJ24" s="34" t="e">
        <f>AND(#REF!,"AAAAAC7euiM=")</f>
        <v>#REF!</v>
      </c>
      <c r="AK24" s="34" t="e">
        <f>AND(#REF!,"AAAAAC7euiQ=")</f>
        <v>#REF!</v>
      </c>
      <c r="AL24" s="34" t="e">
        <f>AND(#REF!,"AAAAAC7euiU=")</f>
        <v>#REF!</v>
      </c>
      <c r="AM24" s="34" t="e">
        <f>AND(#REF!,"AAAAAC7euiY=")</f>
        <v>#REF!</v>
      </c>
      <c r="AN24" s="34" t="e">
        <f>AND(#REF!,"AAAAAC7euic=")</f>
        <v>#REF!</v>
      </c>
      <c r="AO24" s="34" t="e">
        <f>AND(#REF!,"AAAAAC7euig=")</f>
        <v>#REF!</v>
      </c>
      <c r="AP24" s="34" t="e">
        <f>AND(#REF!,"AAAAAC7euik=")</f>
        <v>#REF!</v>
      </c>
      <c r="AQ24" s="34" t="e">
        <f>AND(#REF!,"AAAAAC7euio=")</f>
        <v>#REF!</v>
      </c>
      <c r="AR24" s="34" t="e">
        <f>AND(#REF!,"AAAAAC7euis=")</f>
        <v>#REF!</v>
      </c>
      <c r="AS24" s="34" t="e">
        <f>AND(#REF!,"AAAAAC7euiw=")</f>
        <v>#REF!</v>
      </c>
      <c r="AT24" s="34" t="e">
        <f>AND(#REF!,"AAAAAC7eui0=")</f>
        <v>#REF!</v>
      </c>
      <c r="AU24" s="34" t="e">
        <f>AND(#REF!,"AAAAAC7eui4=")</f>
        <v>#REF!</v>
      </c>
      <c r="AV24" s="34" t="e">
        <f>AND(#REF!,"AAAAAC7eui8=")</f>
        <v>#REF!</v>
      </c>
      <c r="AW24" s="34" t="e">
        <f>AND(#REF!,"AAAAAC7eujA=")</f>
        <v>#REF!</v>
      </c>
      <c r="AX24" s="34" t="e">
        <f>AND(#REF!,"AAAAAC7eujE=")</f>
        <v>#REF!</v>
      </c>
      <c r="AY24" s="34" t="e">
        <f>IF(#REF!,"AAAAAC7eujI=",0)</f>
        <v>#REF!</v>
      </c>
      <c r="AZ24" s="34" t="e">
        <f>AND(#REF!,"AAAAAC7eujM=")</f>
        <v>#REF!</v>
      </c>
      <c r="BA24" s="34" t="e">
        <f>AND(#REF!,"AAAAAC7eujQ=")</f>
        <v>#REF!</v>
      </c>
      <c r="BB24" s="34" t="e">
        <f>AND(#REF!,"AAAAAC7eujU=")</f>
        <v>#REF!</v>
      </c>
      <c r="BC24" s="34" t="e">
        <f>AND(#REF!,"AAAAAC7eujY=")</f>
        <v>#REF!</v>
      </c>
      <c r="BD24" s="34" t="e">
        <f>AND(#REF!,"AAAAAC7eujc=")</f>
        <v>#REF!</v>
      </c>
      <c r="BE24" s="34" t="e">
        <f>AND(#REF!,"AAAAAC7eujg=")</f>
        <v>#REF!</v>
      </c>
      <c r="BF24" s="34" t="e">
        <f>AND(#REF!,"AAAAAC7eujk=")</f>
        <v>#REF!</v>
      </c>
      <c r="BG24" s="34" t="e">
        <f>AND(#REF!,"AAAAAC7eujo=")</f>
        <v>#REF!</v>
      </c>
      <c r="BH24" s="34" t="e">
        <f>AND(#REF!,"AAAAAC7eujs=")</f>
        <v>#REF!</v>
      </c>
      <c r="BI24" s="34" t="e">
        <f>AND(#REF!,"AAAAAC7eujw=")</f>
        <v>#REF!</v>
      </c>
      <c r="BJ24" s="34" t="e">
        <f>AND(#REF!,"AAAAAC7euj0=")</f>
        <v>#REF!</v>
      </c>
      <c r="BK24" s="34" t="e">
        <f>AND(#REF!,"AAAAAC7euj4=")</f>
        <v>#REF!</v>
      </c>
      <c r="BL24" s="34" t="e">
        <f>AND(#REF!,"AAAAAC7euj8=")</f>
        <v>#REF!</v>
      </c>
      <c r="BM24" s="34" t="e">
        <f>AND(#REF!,"AAAAAC7eukA=")</f>
        <v>#REF!</v>
      </c>
      <c r="BN24" s="34" t="e">
        <f>AND(#REF!,"AAAAAC7eukE=")</f>
        <v>#REF!</v>
      </c>
      <c r="BO24" s="34" t="e">
        <f>AND(#REF!,"AAAAAC7eukI=")</f>
        <v>#REF!</v>
      </c>
      <c r="BP24" s="34" t="e">
        <f>AND(#REF!,"AAAAAC7eukM=")</f>
        <v>#REF!</v>
      </c>
      <c r="BQ24" s="34" t="e">
        <f>AND(#REF!,"AAAAAC7eukQ=")</f>
        <v>#REF!</v>
      </c>
      <c r="BR24" s="34" t="e">
        <f>AND(#REF!,"AAAAAC7eukU=")</f>
        <v>#REF!</v>
      </c>
      <c r="BS24" s="34" t="e">
        <f>AND(#REF!,"AAAAAC7eukY=")</f>
        <v>#REF!</v>
      </c>
      <c r="BT24" s="34" t="e">
        <f>AND(#REF!,"AAAAAC7eukc=")</f>
        <v>#REF!</v>
      </c>
      <c r="BU24" s="34" t="e">
        <f>AND(#REF!,"AAAAAC7eukg=")</f>
        <v>#REF!</v>
      </c>
      <c r="BV24" s="34" t="e">
        <f>AND(#REF!,"AAAAAC7eukk=")</f>
        <v>#REF!</v>
      </c>
      <c r="BW24" s="34" t="e">
        <f>AND(#REF!,"AAAAAC7euko=")</f>
        <v>#REF!</v>
      </c>
      <c r="BX24" s="34" t="e">
        <f>AND(#REF!,"AAAAAC7euks=")</f>
        <v>#REF!</v>
      </c>
      <c r="BY24" s="34" t="e">
        <f>AND(#REF!,"AAAAAC7eukw=")</f>
        <v>#REF!</v>
      </c>
      <c r="BZ24" s="34" t="e">
        <f>AND(#REF!,"AAAAAC7euk0=")</f>
        <v>#REF!</v>
      </c>
      <c r="CA24" s="34" t="e">
        <f>AND(#REF!,"AAAAAC7euk4=")</f>
        <v>#REF!</v>
      </c>
      <c r="CB24" s="34" t="e">
        <f>AND(#REF!,"AAAAAC7euk8=")</f>
        <v>#REF!</v>
      </c>
      <c r="CC24" s="34" t="e">
        <f>AND(#REF!,"AAAAAC7eulA=")</f>
        <v>#REF!</v>
      </c>
      <c r="CD24" s="34" t="e">
        <f>AND(#REF!,"AAAAAC7eulE=")</f>
        <v>#REF!</v>
      </c>
      <c r="CE24" s="34" t="e">
        <f>AND(#REF!,"AAAAAC7eulI=")</f>
        <v>#REF!</v>
      </c>
      <c r="CF24" s="34" t="e">
        <f>AND(#REF!,"AAAAAC7eulM=")</f>
        <v>#REF!</v>
      </c>
      <c r="CG24" s="34" t="e">
        <f>AND(#REF!,"AAAAAC7eulQ=")</f>
        <v>#REF!</v>
      </c>
      <c r="CH24" s="34" t="e">
        <f>AND(#REF!,"AAAAAC7eulU=")</f>
        <v>#REF!</v>
      </c>
      <c r="CI24" s="34" t="e">
        <f>AND(#REF!,"AAAAAC7eulY=")</f>
        <v>#REF!</v>
      </c>
      <c r="CJ24" s="34" t="e">
        <f>AND(#REF!,"AAAAAC7eulc=")</f>
        <v>#REF!</v>
      </c>
      <c r="CK24" s="34" t="e">
        <f>AND(#REF!,"AAAAAC7eulg=")</f>
        <v>#REF!</v>
      </c>
      <c r="CL24" s="34" t="e">
        <f>AND(#REF!,"AAAAAC7eulk=")</f>
        <v>#REF!</v>
      </c>
      <c r="CM24" s="34" t="e">
        <f>AND(#REF!,"AAAAAC7eulo=")</f>
        <v>#REF!</v>
      </c>
      <c r="CN24" s="34" t="e">
        <f>AND(#REF!,"AAAAAC7euls=")</f>
        <v>#REF!</v>
      </c>
      <c r="CO24" s="34" t="e">
        <f>AND(#REF!,"AAAAAC7eulw=")</f>
        <v>#REF!</v>
      </c>
      <c r="CP24" s="34" t="e">
        <f>AND(#REF!,"AAAAAC7eul0=")</f>
        <v>#REF!</v>
      </c>
      <c r="CQ24" s="34" t="e">
        <f>AND(#REF!,"AAAAAC7eul4=")</f>
        <v>#REF!</v>
      </c>
      <c r="CR24" s="34" t="e">
        <f>AND(#REF!,"AAAAAC7eul8=")</f>
        <v>#REF!</v>
      </c>
      <c r="CS24" s="34" t="e">
        <f>AND(#REF!,"AAAAAC7eumA=")</f>
        <v>#REF!</v>
      </c>
      <c r="CT24" s="34" t="e">
        <f>AND(#REF!,"AAAAAC7eumE=")</f>
        <v>#REF!</v>
      </c>
      <c r="CU24" s="34" t="e">
        <f>AND(#REF!,"AAAAAC7eumI=")</f>
        <v>#REF!</v>
      </c>
      <c r="CV24" s="34" t="e">
        <f>AND(#REF!,"AAAAAC7eumM=")</f>
        <v>#REF!</v>
      </c>
      <c r="CW24" s="34" t="e">
        <f>AND(#REF!,"AAAAAC7eumQ=")</f>
        <v>#REF!</v>
      </c>
      <c r="CX24" s="34" t="e">
        <f>AND(#REF!,"AAAAAC7eumU=")</f>
        <v>#REF!</v>
      </c>
      <c r="CY24" s="34" t="e">
        <f>AND(#REF!,"AAAAAC7eumY=")</f>
        <v>#REF!</v>
      </c>
      <c r="CZ24" s="34" t="e">
        <f>AND(#REF!,"AAAAAC7eumc=")</f>
        <v>#REF!</v>
      </c>
      <c r="DA24" s="34" t="e">
        <f>AND(#REF!,"AAAAAC7eumg=")</f>
        <v>#REF!</v>
      </c>
      <c r="DB24" s="34" t="e">
        <f>AND(#REF!,"AAAAAC7eumk=")</f>
        <v>#REF!</v>
      </c>
      <c r="DC24" s="34" t="e">
        <f>AND(#REF!,"AAAAAC7eumo=")</f>
        <v>#REF!</v>
      </c>
      <c r="DD24" s="34" t="e">
        <f>AND(#REF!,"AAAAAC7eums=")</f>
        <v>#REF!</v>
      </c>
      <c r="DE24" s="34" t="e">
        <f>AND(#REF!,"AAAAAC7eumw=")</f>
        <v>#REF!</v>
      </c>
      <c r="DF24" s="34" t="e">
        <f>AND(#REF!,"AAAAAC7eum0=")</f>
        <v>#REF!</v>
      </c>
      <c r="DG24" s="34" t="e">
        <f>AND(#REF!,"AAAAAC7eum4=")</f>
        <v>#REF!</v>
      </c>
      <c r="DH24" s="34" t="e">
        <f>AND(#REF!,"AAAAAC7eum8=")</f>
        <v>#REF!</v>
      </c>
      <c r="DI24" s="34" t="e">
        <f>AND(#REF!,"AAAAAC7eunA=")</f>
        <v>#REF!</v>
      </c>
      <c r="DJ24" s="34" t="e">
        <f>AND(#REF!,"AAAAAC7eunE=")</f>
        <v>#REF!</v>
      </c>
      <c r="DK24" s="34" t="e">
        <f>AND(#REF!,"AAAAAC7eunI=")</f>
        <v>#REF!</v>
      </c>
      <c r="DL24" s="34" t="e">
        <f>AND(#REF!,"AAAAAC7eunM=")</f>
        <v>#REF!</v>
      </c>
      <c r="DM24" s="34" t="e">
        <f>AND(#REF!,"AAAAAC7eunQ=")</f>
        <v>#REF!</v>
      </c>
      <c r="DN24" s="34" t="e">
        <f>AND(#REF!,"AAAAAC7eunU=")</f>
        <v>#REF!</v>
      </c>
      <c r="DO24" s="34" t="e">
        <f>AND(#REF!,"AAAAAC7eunY=")</f>
        <v>#REF!</v>
      </c>
      <c r="DP24" s="34" t="e">
        <f>AND(#REF!,"AAAAAC7eunc=")</f>
        <v>#REF!</v>
      </c>
      <c r="DQ24" s="34" t="e">
        <f>AND(#REF!,"AAAAAC7eung=")</f>
        <v>#REF!</v>
      </c>
      <c r="DR24" s="34" t="e">
        <f>AND(#REF!,"AAAAAC7eunk=")</f>
        <v>#REF!</v>
      </c>
      <c r="DS24" s="34" t="e">
        <f>AND(#REF!,"AAAAAC7euno=")</f>
        <v>#REF!</v>
      </c>
      <c r="DT24" s="34" t="e">
        <f>IF(#REF!,"AAAAAC7euns=",0)</f>
        <v>#REF!</v>
      </c>
      <c r="DU24" s="34" t="e">
        <f>AND(#REF!,"AAAAAC7eunw=")</f>
        <v>#REF!</v>
      </c>
      <c r="DV24" s="34" t="e">
        <f>AND(#REF!,"AAAAAC7eun0=")</f>
        <v>#REF!</v>
      </c>
      <c r="DW24" s="34" t="e">
        <f>AND(#REF!,"AAAAAC7eun4=")</f>
        <v>#REF!</v>
      </c>
      <c r="DX24" s="34" t="e">
        <f>AND(#REF!,"AAAAAC7eun8=")</f>
        <v>#REF!</v>
      </c>
      <c r="DY24" s="34" t="e">
        <f>AND(#REF!,"AAAAAC7euoA=")</f>
        <v>#REF!</v>
      </c>
      <c r="DZ24" s="34" t="e">
        <f>AND(#REF!,"AAAAAC7euoE=")</f>
        <v>#REF!</v>
      </c>
      <c r="EA24" s="34" t="e">
        <f>AND(#REF!,"AAAAAC7euoI=")</f>
        <v>#REF!</v>
      </c>
      <c r="EB24" s="34" t="e">
        <f>AND(#REF!,"AAAAAC7euoM=")</f>
        <v>#REF!</v>
      </c>
      <c r="EC24" s="34" t="e">
        <f>AND(#REF!,"AAAAAC7euoQ=")</f>
        <v>#REF!</v>
      </c>
      <c r="ED24" s="34" t="e">
        <f>AND(#REF!,"AAAAAC7euoU=")</f>
        <v>#REF!</v>
      </c>
      <c r="EE24" s="34" t="e">
        <f>AND(#REF!,"AAAAAC7euoY=")</f>
        <v>#REF!</v>
      </c>
      <c r="EF24" s="34" t="e">
        <f>AND(#REF!,"AAAAAC7euoc=")</f>
        <v>#REF!</v>
      </c>
      <c r="EG24" s="34" t="e">
        <f>AND(#REF!,"AAAAAC7euog=")</f>
        <v>#REF!</v>
      </c>
      <c r="EH24" s="34" t="e">
        <f>AND(#REF!,"AAAAAC7euok=")</f>
        <v>#REF!</v>
      </c>
      <c r="EI24" s="34" t="e">
        <f>AND(#REF!,"AAAAAC7euoo=")</f>
        <v>#REF!</v>
      </c>
      <c r="EJ24" s="34" t="e">
        <f>AND(#REF!,"AAAAAC7euos=")</f>
        <v>#REF!</v>
      </c>
      <c r="EK24" s="34" t="e">
        <f>AND(#REF!,"AAAAAC7euow=")</f>
        <v>#REF!</v>
      </c>
      <c r="EL24" s="34" t="e">
        <f>AND(#REF!,"AAAAAC7euo0=")</f>
        <v>#REF!</v>
      </c>
      <c r="EM24" s="34" t="e">
        <f>AND(#REF!,"AAAAAC7euo4=")</f>
        <v>#REF!</v>
      </c>
      <c r="EN24" s="34" t="e">
        <f>AND(#REF!,"AAAAAC7euo8=")</f>
        <v>#REF!</v>
      </c>
      <c r="EO24" s="34" t="e">
        <f>AND(#REF!,"AAAAAC7eupA=")</f>
        <v>#REF!</v>
      </c>
      <c r="EP24" s="34" t="e">
        <f>AND(#REF!,"AAAAAC7eupE=")</f>
        <v>#REF!</v>
      </c>
      <c r="EQ24" s="34" t="e">
        <f>AND(#REF!,"AAAAAC7eupI=")</f>
        <v>#REF!</v>
      </c>
      <c r="ER24" s="34" t="e">
        <f>AND(#REF!,"AAAAAC7eupM=")</f>
        <v>#REF!</v>
      </c>
      <c r="ES24" s="34" t="e">
        <f>AND(#REF!,"AAAAAC7eupQ=")</f>
        <v>#REF!</v>
      </c>
      <c r="ET24" s="34" t="e">
        <f>AND(#REF!,"AAAAAC7eupU=")</f>
        <v>#REF!</v>
      </c>
      <c r="EU24" s="34" t="e">
        <f>AND(#REF!,"AAAAAC7eupY=")</f>
        <v>#REF!</v>
      </c>
      <c r="EV24" s="34" t="e">
        <f>AND(#REF!,"AAAAAC7eupc=")</f>
        <v>#REF!</v>
      </c>
      <c r="EW24" s="34" t="e">
        <f>AND(#REF!,"AAAAAC7eupg=")</f>
        <v>#REF!</v>
      </c>
      <c r="EX24" s="34" t="e">
        <f>AND(#REF!,"AAAAAC7eupk=")</f>
        <v>#REF!</v>
      </c>
      <c r="EY24" s="34" t="e">
        <f>AND(#REF!,"AAAAAC7eupo=")</f>
        <v>#REF!</v>
      </c>
      <c r="EZ24" s="34" t="e">
        <f>AND(#REF!,"AAAAAC7eups=")</f>
        <v>#REF!</v>
      </c>
      <c r="FA24" s="34" t="e">
        <f>AND(#REF!,"AAAAAC7eupw=")</f>
        <v>#REF!</v>
      </c>
      <c r="FB24" s="34" t="e">
        <f>AND(#REF!,"AAAAAC7eup0=")</f>
        <v>#REF!</v>
      </c>
      <c r="FC24" s="34" t="e">
        <f>AND(#REF!,"AAAAAC7eup4=")</f>
        <v>#REF!</v>
      </c>
      <c r="FD24" s="34" t="e">
        <f>AND(#REF!,"AAAAAC7eup8=")</f>
        <v>#REF!</v>
      </c>
      <c r="FE24" s="34" t="e">
        <f>AND(#REF!,"AAAAAC7euqA=")</f>
        <v>#REF!</v>
      </c>
      <c r="FF24" s="34" t="e">
        <f>AND(#REF!,"AAAAAC7euqE=")</f>
        <v>#REF!</v>
      </c>
      <c r="FG24" s="34" t="e">
        <f>AND(#REF!,"AAAAAC7euqI=")</f>
        <v>#REF!</v>
      </c>
      <c r="FH24" s="34" t="e">
        <f>AND(#REF!,"AAAAAC7euqM=")</f>
        <v>#REF!</v>
      </c>
      <c r="FI24" s="34" t="e">
        <f>AND(#REF!,"AAAAAC7euqQ=")</f>
        <v>#REF!</v>
      </c>
      <c r="FJ24" s="34" t="e">
        <f>AND(#REF!,"AAAAAC7euqU=")</f>
        <v>#REF!</v>
      </c>
      <c r="FK24" s="34" t="e">
        <f>AND(#REF!,"AAAAAC7euqY=")</f>
        <v>#REF!</v>
      </c>
      <c r="FL24" s="34" t="e">
        <f>AND(#REF!,"AAAAAC7euqc=")</f>
        <v>#REF!</v>
      </c>
      <c r="FM24" s="34" t="e">
        <f>AND(#REF!,"AAAAAC7euqg=")</f>
        <v>#REF!</v>
      </c>
      <c r="FN24" s="34" t="e">
        <f>AND(#REF!,"AAAAAC7euqk=")</f>
        <v>#REF!</v>
      </c>
      <c r="FO24" s="34" t="e">
        <f>AND(#REF!,"AAAAAC7euqo=")</f>
        <v>#REF!</v>
      </c>
      <c r="FP24" s="34" t="e">
        <f>AND(#REF!,"AAAAAC7euqs=")</f>
        <v>#REF!</v>
      </c>
      <c r="FQ24" s="34" t="e">
        <f>AND(#REF!,"AAAAAC7euqw=")</f>
        <v>#REF!</v>
      </c>
      <c r="FR24" s="34" t="e">
        <f>AND(#REF!,"AAAAAC7euq0=")</f>
        <v>#REF!</v>
      </c>
      <c r="FS24" s="34" t="e">
        <f>AND(#REF!,"AAAAAC7euq4=")</f>
        <v>#REF!</v>
      </c>
      <c r="FT24" s="34" t="e">
        <f>AND(#REF!,"AAAAAC7euq8=")</f>
        <v>#REF!</v>
      </c>
      <c r="FU24" s="34" t="e">
        <f>AND(#REF!,"AAAAAC7eurA=")</f>
        <v>#REF!</v>
      </c>
      <c r="FV24" s="34" t="e">
        <f>AND(#REF!,"AAAAAC7eurE=")</f>
        <v>#REF!</v>
      </c>
      <c r="FW24" s="34" t="e">
        <f>AND(#REF!,"AAAAAC7eurI=")</f>
        <v>#REF!</v>
      </c>
      <c r="FX24" s="34" t="e">
        <f>AND(#REF!,"AAAAAC7eurM=")</f>
        <v>#REF!</v>
      </c>
      <c r="FY24" s="34" t="e">
        <f>AND(#REF!,"AAAAAC7eurQ=")</f>
        <v>#REF!</v>
      </c>
      <c r="FZ24" s="34" t="e">
        <f>AND(#REF!,"AAAAAC7eurU=")</f>
        <v>#REF!</v>
      </c>
      <c r="GA24" s="34" t="e">
        <f>AND(#REF!,"AAAAAC7eurY=")</f>
        <v>#REF!</v>
      </c>
      <c r="GB24" s="34" t="e">
        <f>AND(#REF!,"AAAAAC7eurc=")</f>
        <v>#REF!</v>
      </c>
      <c r="GC24" s="34" t="e">
        <f>AND(#REF!,"AAAAAC7eurg=")</f>
        <v>#REF!</v>
      </c>
      <c r="GD24" s="34" t="e">
        <f>AND(#REF!,"AAAAAC7eurk=")</f>
        <v>#REF!</v>
      </c>
      <c r="GE24" s="34" t="e">
        <f>AND(#REF!,"AAAAAC7euro=")</f>
        <v>#REF!</v>
      </c>
      <c r="GF24" s="34" t="e">
        <f>AND(#REF!,"AAAAAC7eurs=")</f>
        <v>#REF!</v>
      </c>
      <c r="GG24" s="34" t="e">
        <f>AND(#REF!,"AAAAAC7eurw=")</f>
        <v>#REF!</v>
      </c>
      <c r="GH24" s="34" t="e">
        <f>AND(#REF!,"AAAAAC7eur0=")</f>
        <v>#REF!</v>
      </c>
      <c r="GI24" s="34" t="e">
        <f>AND(#REF!,"AAAAAC7eur4=")</f>
        <v>#REF!</v>
      </c>
      <c r="GJ24" s="34" t="e">
        <f>AND(#REF!,"AAAAAC7eur8=")</f>
        <v>#REF!</v>
      </c>
      <c r="GK24" s="34" t="e">
        <f>AND(#REF!,"AAAAAC7eusA=")</f>
        <v>#REF!</v>
      </c>
      <c r="GL24" s="34" t="e">
        <f>AND(#REF!,"AAAAAC7eusE=")</f>
        <v>#REF!</v>
      </c>
      <c r="GM24" s="34" t="e">
        <f>AND(#REF!,"AAAAAC7eusI=")</f>
        <v>#REF!</v>
      </c>
      <c r="GN24" s="34" t="e">
        <f>AND(#REF!,"AAAAAC7eusM=")</f>
        <v>#REF!</v>
      </c>
      <c r="GO24" s="34" t="e">
        <f>IF(#REF!,"AAAAAC7eusQ=",0)</f>
        <v>#REF!</v>
      </c>
      <c r="GP24" s="34" t="e">
        <f>AND(#REF!,"AAAAAC7eusU=")</f>
        <v>#REF!</v>
      </c>
      <c r="GQ24" s="34" t="e">
        <f>AND(#REF!,"AAAAAC7eusY=")</f>
        <v>#REF!</v>
      </c>
      <c r="GR24" s="34" t="e">
        <f>AND(#REF!,"AAAAAC7eusc=")</f>
        <v>#REF!</v>
      </c>
      <c r="GS24" s="34" t="e">
        <f>AND(#REF!,"AAAAAC7eusg=")</f>
        <v>#REF!</v>
      </c>
      <c r="GT24" s="34" t="e">
        <f>AND(#REF!,"AAAAAC7eusk=")</f>
        <v>#REF!</v>
      </c>
      <c r="GU24" s="34" t="e">
        <f>AND(#REF!,"AAAAAC7euso=")</f>
        <v>#REF!</v>
      </c>
      <c r="GV24" s="34" t="e">
        <f>AND(#REF!,"AAAAAC7euss=")</f>
        <v>#REF!</v>
      </c>
      <c r="GW24" s="34" t="e">
        <f>AND(#REF!,"AAAAAC7eusw=")</f>
        <v>#REF!</v>
      </c>
      <c r="GX24" s="34" t="e">
        <f>AND(#REF!,"AAAAAC7eus0=")</f>
        <v>#REF!</v>
      </c>
      <c r="GY24" s="34" t="e">
        <f>AND(#REF!,"AAAAAC7eus4=")</f>
        <v>#REF!</v>
      </c>
      <c r="GZ24" s="34" t="e">
        <f>AND(#REF!,"AAAAAC7eus8=")</f>
        <v>#REF!</v>
      </c>
      <c r="HA24" s="34" t="e">
        <f>AND(#REF!,"AAAAAC7eutA=")</f>
        <v>#REF!</v>
      </c>
      <c r="HB24" s="34" t="e">
        <f>AND(#REF!,"AAAAAC7eutE=")</f>
        <v>#REF!</v>
      </c>
      <c r="HC24" s="34" t="e">
        <f>AND(#REF!,"AAAAAC7eutI=")</f>
        <v>#REF!</v>
      </c>
      <c r="HD24" s="34" t="e">
        <f>AND(#REF!,"AAAAAC7eutM=")</f>
        <v>#REF!</v>
      </c>
      <c r="HE24" s="34" t="e">
        <f>AND(#REF!,"AAAAAC7eutQ=")</f>
        <v>#REF!</v>
      </c>
      <c r="HF24" s="34" t="e">
        <f>AND(#REF!,"AAAAAC7eutU=")</f>
        <v>#REF!</v>
      </c>
      <c r="HG24" s="34" t="e">
        <f>AND(#REF!,"AAAAAC7eutY=")</f>
        <v>#REF!</v>
      </c>
      <c r="HH24" s="34" t="e">
        <f>AND(#REF!,"AAAAAC7eutc=")</f>
        <v>#REF!</v>
      </c>
      <c r="HI24" s="34" t="e">
        <f>AND(#REF!,"AAAAAC7eutg=")</f>
        <v>#REF!</v>
      </c>
      <c r="HJ24" s="34" t="e">
        <f>AND(#REF!,"AAAAAC7eutk=")</f>
        <v>#REF!</v>
      </c>
      <c r="HK24" s="34" t="e">
        <f>AND(#REF!,"AAAAAC7euto=")</f>
        <v>#REF!</v>
      </c>
      <c r="HL24" s="34" t="e">
        <f>AND(#REF!,"AAAAAC7euts=")</f>
        <v>#REF!</v>
      </c>
      <c r="HM24" s="34" t="e">
        <f>AND(#REF!,"AAAAAC7eutw=")</f>
        <v>#REF!</v>
      </c>
      <c r="HN24" s="34" t="e">
        <f>AND(#REF!,"AAAAAC7eut0=")</f>
        <v>#REF!</v>
      </c>
      <c r="HO24" s="34" t="e">
        <f>AND(#REF!,"AAAAAC7eut4=")</f>
        <v>#REF!</v>
      </c>
      <c r="HP24" s="34" t="e">
        <f>AND(#REF!,"AAAAAC7eut8=")</f>
        <v>#REF!</v>
      </c>
      <c r="HQ24" s="34" t="e">
        <f>AND(#REF!,"AAAAAC7euuA=")</f>
        <v>#REF!</v>
      </c>
      <c r="HR24" s="34" t="e">
        <f>AND(#REF!,"AAAAAC7euuE=")</f>
        <v>#REF!</v>
      </c>
      <c r="HS24" s="34" t="e">
        <f>AND(#REF!,"AAAAAC7euuI=")</f>
        <v>#REF!</v>
      </c>
      <c r="HT24" s="34" t="e">
        <f>AND(#REF!,"AAAAAC7euuM=")</f>
        <v>#REF!</v>
      </c>
      <c r="HU24" s="34" t="e">
        <f>AND(#REF!,"AAAAAC7euuQ=")</f>
        <v>#REF!</v>
      </c>
      <c r="HV24" s="34" t="e">
        <f>AND(#REF!,"AAAAAC7euuU=")</f>
        <v>#REF!</v>
      </c>
      <c r="HW24" s="34" t="e">
        <f>AND(#REF!,"AAAAAC7euuY=")</f>
        <v>#REF!</v>
      </c>
      <c r="HX24" s="34" t="e">
        <f>AND(#REF!,"AAAAAC7euuc=")</f>
        <v>#REF!</v>
      </c>
      <c r="HY24" s="34" t="e">
        <f>AND(#REF!,"AAAAAC7euug=")</f>
        <v>#REF!</v>
      </c>
      <c r="HZ24" s="34" t="e">
        <f>AND(#REF!,"AAAAAC7euuk=")</f>
        <v>#REF!</v>
      </c>
      <c r="IA24" s="34" t="e">
        <f>AND(#REF!,"AAAAAC7euuo=")</f>
        <v>#REF!</v>
      </c>
      <c r="IB24" s="34" t="e">
        <f>AND(#REF!,"AAAAAC7euus=")</f>
        <v>#REF!</v>
      </c>
      <c r="IC24" s="34" t="e">
        <f>AND(#REF!,"AAAAAC7euuw=")</f>
        <v>#REF!</v>
      </c>
      <c r="ID24" s="34" t="e">
        <f>AND(#REF!,"AAAAAC7euu0=")</f>
        <v>#REF!</v>
      </c>
      <c r="IE24" s="34" t="e">
        <f>AND(#REF!,"AAAAAC7euu4=")</f>
        <v>#REF!</v>
      </c>
      <c r="IF24" s="34" t="e">
        <f>AND(#REF!,"AAAAAC7euu8=")</f>
        <v>#REF!</v>
      </c>
      <c r="IG24" s="34" t="e">
        <f>AND(#REF!,"AAAAAC7euvA=")</f>
        <v>#REF!</v>
      </c>
      <c r="IH24" s="34" t="e">
        <f>AND(#REF!,"AAAAAC7euvE=")</f>
        <v>#REF!</v>
      </c>
      <c r="II24" s="34" t="e">
        <f>AND(#REF!,"AAAAAC7euvI=")</f>
        <v>#REF!</v>
      </c>
      <c r="IJ24" s="34" t="e">
        <f>AND(#REF!,"AAAAAC7euvM=")</f>
        <v>#REF!</v>
      </c>
      <c r="IK24" s="34" t="e">
        <f>AND(#REF!,"AAAAAC7euvQ=")</f>
        <v>#REF!</v>
      </c>
      <c r="IL24" s="34" t="e">
        <f>AND(#REF!,"AAAAAC7euvU=")</f>
        <v>#REF!</v>
      </c>
      <c r="IM24" s="34" t="e">
        <f>AND(#REF!,"AAAAAC7euvY=")</f>
        <v>#REF!</v>
      </c>
      <c r="IN24" s="34" t="e">
        <f>AND(#REF!,"AAAAAC7euvc=")</f>
        <v>#REF!</v>
      </c>
      <c r="IO24" s="34" t="e">
        <f>AND(#REF!,"AAAAAC7euvg=")</f>
        <v>#REF!</v>
      </c>
      <c r="IP24" s="34" t="e">
        <f>AND(#REF!,"AAAAAC7euvk=")</f>
        <v>#REF!</v>
      </c>
      <c r="IQ24" s="34" t="e">
        <f>AND(#REF!,"AAAAAC7euvo=")</f>
        <v>#REF!</v>
      </c>
      <c r="IR24" s="34" t="e">
        <f>AND(#REF!,"AAAAAC7euvs=")</f>
        <v>#REF!</v>
      </c>
      <c r="IS24" s="34" t="e">
        <f>AND(#REF!,"AAAAAC7euvw=")</f>
        <v>#REF!</v>
      </c>
      <c r="IT24" s="34" t="e">
        <f>AND(#REF!,"AAAAAC7euv0=")</f>
        <v>#REF!</v>
      </c>
      <c r="IU24" s="34" t="e">
        <f>AND(#REF!,"AAAAAC7euv4=")</f>
        <v>#REF!</v>
      </c>
      <c r="IV24" s="34" t="e">
        <f>AND(#REF!,"AAAAAC7euv8=")</f>
        <v>#REF!</v>
      </c>
    </row>
    <row r="25" spans="1:256" ht="12.75" customHeight="1" x14ac:dyDescent="0.2">
      <c r="A25" s="34" t="e">
        <f>AND(#REF!,"AAAAAG/3kAA=")</f>
        <v>#REF!</v>
      </c>
      <c r="B25" s="34" t="e">
        <f>AND(#REF!,"AAAAAG/3kAE=")</f>
        <v>#REF!</v>
      </c>
      <c r="C25" s="34" t="e">
        <f>AND(#REF!,"AAAAAG/3kAI=")</f>
        <v>#REF!</v>
      </c>
      <c r="D25" s="34" t="e">
        <f>AND(#REF!,"AAAAAG/3kAM=")</f>
        <v>#REF!</v>
      </c>
      <c r="E25" s="34" t="e">
        <f>AND(#REF!,"AAAAAG/3kAQ=")</f>
        <v>#REF!</v>
      </c>
      <c r="F25" s="34" t="e">
        <f>AND(#REF!,"AAAAAG/3kAU=")</f>
        <v>#REF!</v>
      </c>
      <c r="G25" s="34" t="e">
        <f>AND(#REF!,"AAAAAG/3kAY=")</f>
        <v>#REF!</v>
      </c>
      <c r="H25" s="34" t="e">
        <f>AND(#REF!,"AAAAAG/3kAc=")</f>
        <v>#REF!</v>
      </c>
      <c r="I25" s="34" t="e">
        <f>AND(#REF!,"AAAAAG/3kAg=")</f>
        <v>#REF!</v>
      </c>
      <c r="J25" s="34" t="e">
        <f>AND(#REF!,"AAAAAG/3kAk=")</f>
        <v>#REF!</v>
      </c>
      <c r="K25" s="34" t="e">
        <f>AND(#REF!,"AAAAAG/3kAo=")</f>
        <v>#REF!</v>
      </c>
      <c r="L25" s="34" t="e">
        <f>AND(#REF!,"AAAAAG/3kAs=")</f>
        <v>#REF!</v>
      </c>
      <c r="M25" s="34" t="e">
        <f>AND(#REF!,"AAAAAG/3kAw=")</f>
        <v>#REF!</v>
      </c>
      <c r="N25" s="34" t="e">
        <f>IF(#REF!,"AAAAAG/3kA0=",0)</f>
        <v>#REF!</v>
      </c>
      <c r="O25" s="34" t="e">
        <f>AND(#REF!,"AAAAAG/3kA4=")</f>
        <v>#REF!</v>
      </c>
      <c r="P25" s="34" t="e">
        <f>AND(#REF!,"AAAAAG/3kA8=")</f>
        <v>#REF!</v>
      </c>
      <c r="Q25" s="34" t="e">
        <f>AND(#REF!,"AAAAAG/3kBA=")</f>
        <v>#REF!</v>
      </c>
      <c r="R25" s="34" t="e">
        <f>AND(#REF!,"AAAAAG/3kBE=")</f>
        <v>#REF!</v>
      </c>
      <c r="S25" s="34" t="e">
        <f>AND(#REF!,"AAAAAG/3kBI=")</f>
        <v>#REF!</v>
      </c>
      <c r="T25" s="34" t="e">
        <f>AND(#REF!,"AAAAAG/3kBM=")</f>
        <v>#REF!</v>
      </c>
      <c r="U25" s="34" t="e">
        <f>AND(#REF!,"AAAAAG/3kBQ=")</f>
        <v>#REF!</v>
      </c>
      <c r="V25" s="34" t="e">
        <f>AND(#REF!,"AAAAAG/3kBU=")</f>
        <v>#REF!</v>
      </c>
      <c r="W25" s="34" t="e">
        <f>AND(#REF!,"AAAAAG/3kBY=")</f>
        <v>#REF!</v>
      </c>
      <c r="X25" s="34" t="e">
        <f>AND(#REF!,"AAAAAG/3kBc=")</f>
        <v>#REF!</v>
      </c>
      <c r="Y25" s="34" t="e">
        <f>AND(#REF!,"AAAAAG/3kBg=")</f>
        <v>#REF!</v>
      </c>
      <c r="Z25" s="34" t="e">
        <f>AND(#REF!,"AAAAAG/3kBk=")</f>
        <v>#REF!</v>
      </c>
      <c r="AA25" s="34" t="e">
        <f>AND(#REF!,"AAAAAG/3kBo=")</f>
        <v>#REF!</v>
      </c>
      <c r="AB25" s="34" t="e">
        <f>AND(#REF!,"AAAAAG/3kBs=")</f>
        <v>#REF!</v>
      </c>
      <c r="AC25" s="34" t="e">
        <f>AND(#REF!,"AAAAAG/3kBw=")</f>
        <v>#REF!</v>
      </c>
      <c r="AD25" s="34" t="e">
        <f>AND(#REF!,"AAAAAG/3kB0=")</f>
        <v>#REF!</v>
      </c>
      <c r="AE25" s="34" t="e">
        <f>AND(#REF!,"AAAAAG/3kB4=")</f>
        <v>#REF!</v>
      </c>
      <c r="AF25" s="34" t="e">
        <f>AND(#REF!,"AAAAAG/3kB8=")</f>
        <v>#REF!</v>
      </c>
      <c r="AG25" s="34" t="e">
        <f>AND(#REF!,"AAAAAG/3kCA=")</f>
        <v>#REF!</v>
      </c>
      <c r="AH25" s="34" t="e">
        <f>AND(#REF!,"AAAAAG/3kCE=")</f>
        <v>#REF!</v>
      </c>
      <c r="AI25" s="34" t="e">
        <f>AND(#REF!,"AAAAAG/3kCI=")</f>
        <v>#REF!</v>
      </c>
      <c r="AJ25" s="34" t="e">
        <f>AND(#REF!,"AAAAAG/3kCM=")</f>
        <v>#REF!</v>
      </c>
      <c r="AK25" s="34" t="e">
        <f>AND(#REF!,"AAAAAG/3kCQ=")</f>
        <v>#REF!</v>
      </c>
      <c r="AL25" s="34" t="e">
        <f>AND(#REF!,"AAAAAG/3kCU=")</f>
        <v>#REF!</v>
      </c>
      <c r="AM25" s="34" t="e">
        <f>AND(#REF!,"AAAAAG/3kCY=")</f>
        <v>#REF!</v>
      </c>
      <c r="AN25" s="34" t="e">
        <f>AND(#REF!,"AAAAAG/3kCc=")</f>
        <v>#REF!</v>
      </c>
      <c r="AO25" s="34" t="e">
        <f>AND(#REF!,"AAAAAG/3kCg=")</f>
        <v>#REF!</v>
      </c>
      <c r="AP25" s="34" t="e">
        <f>AND(#REF!,"AAAAAG/3kCk=")</f>
        <v>#REF!</v>
      </c>
      <c r="AQ25" s="34" t="e">
        <f>AND(#REF!,"AAAAAG/3kCo=")</f>
        <v>#REF!</v>
      </c>
      <c r="AR25" s="34" t="e">
        <f>AND(#REF!,"AAAAAG/3kCs=")</f>
        <v>#REF!</v>
      </c>
      <c r="AS25" s="34" t="e">
        <f>AND(#REF!,"AAAAAG/3kCw=")</f>
        <v>#REF!</v>
      </c>
      <c r="AT25" s="34" t="e">
        <f>AND(#REF!,"AAAAAG/3kC0=")</f>
        <v>#REF!</v>
      </c>
      <c r="AU25" s="34" t="e">
        <f>AND(#REF!,"AAAAAG/3kC4=")</f>
        <v>#REF!</v>
      </c>
      <c r="AV25" s="34" t="e">
        <f>AND(#REF!,"AAAAAG/3kC8=")</f>
        <v>#REF!</v>
      </c>
      <c r="AW25" s="34" t="e">
        <f>AND(#REF!,"AAAAAG/3kDA=")</f>
        <v>#REF!</v>
      </c>
      <c r="AX25" s="34" t="e">
        <f>AND(#REF!,"AAAAAG/3kDE=")</f>
        <v>#REF!</v>
      </c>
      <c r="AY25" s="34" t="e">
        <f>AND(#REF!,"AAAAAG/3kDI=")</f>
        <v>#REF!</v>
      </c>
      <c r="AZ25" s="34" t="e">
        <f>AND(#REF!,"AAAAAG/3kDM=")</f>
        <v>#REF!</v>
      </c>
      <c r="BA25" s="34" t="e">
        <f>AND(#REF!,"AAAAAG/3kDQ=")</f>
        <v>#REF!</v>
      </c>
      <c r="BB25" s="34" t="e">
        <f>AND(#REF!,"AAAAAG/3kDU=")</f>
        <v>#REF!</v>
      </c>
      <c r="BC25" s="34" t="e">
        <f>AND(#REF!,"AAAAAG/3kDY=")</f>
        <v>#REF!</v>
      </c>
      <c r="BD25" s="34" t="e">
        <f>AND(#REF!,"AAAAAG/3kDc=")</f>
        <v>#REF!</v>
      </c>
      <c r="BE25" s="34" t="e">
        <f>AND(#REF!,"AAAAAG/3kDg=")</f>
        <v>#REF!</v>
      </c>
      <c r="BF25" s="34" t="e">
        <f>AND(#REF!,"AAAAAG/3kDk=")</f>
        <v>#REF!</v>
      </c>
      <c r="BG25" s="34" t="e">
        <f>AND(#REF!,"AAAAAG/3kDo=")</f>
        <v>#REF!</v>
      </c>
      <c r="BH25" s="34" t="e">
        <f>AND(#REF!,"AAAAAG/3kDs=")</f>
        <v>#REF!</v>
      </c>
      <c r="BI25" s="34" t="e">
        <f>AND(#REF!,"AAAAAG/3kDw=")</f>
        <v>#REF!</v>
      </c>
      <c r="BJ25" s="34" t="e">
        <f>AND(#REF!,"AAAAAG/3kD0=")</f>
        <v>#REF!</v>
      </c>
      <c r="BK25" s="34" t="e">
        <f>AND(#REF!,"AAAAAG/3kD4=")</f>
        <v>#REF!</v>
      </c>
      <c r="BL25" s="34" t="e">
        <f>AND(#REF!,"AAAAAG/3kD8=")</f>
        <v>#REF!</v>
      </c>
      <c r="BM25" s="34" t="e">
        <f>AND(#REF!,"AAAAAG/3kEA=")</f>
        <v>#REF!</v>
      </c>
      <c r="BN25" s="34" t="e">
        <f>AND(#REF!,"AAAAAG/3kEE=")</f>
        <v>#REF!</v>
      </c>
      <c r="BO25" s="34" t="e">
        <f>AND(#REF!,"AAAAAG/3kEI=")</f>
        <v>#REF!</v>
      </c>
      <c r="BP25" s="34" t="e">
        <f>AND(#REF!,"AAAAAG/3kEM=")</f>
        <v>#REF!</v>
      </c>
      <c r="BQ25" s="34" t="e">
        <f>AND(#REF!,"AAAAAG/3kEQ=")</f>
        <v>#REF!</v>
      </c>
      <c r="BR25" s="34" t="e">
        <f>AND(#REF!,"AAAAAG/3kEU=")</f>
        <v>#REF!</v>
      </c>
      <c r="BS25" s="34" t="e">
        <f>AND(#REF!,"AAAAAG/3kEY=")</f>
        <v>#REF!</v>
      </c>
      <c r="BT25" s="34" t="e">
        <f>AND(#REF!,"AAAAAG/3kEc=")</f>
        <v>#REF!</v>
      </c>
      <c r="BU25" s="34" t="e">
        <f>AND(#REF!,"AAAAAG/3kEg=")</f>
        <v>#REF!</v>
      </c>
      <c r="BV25" s="34" t="e">
        <f>AND(#REF!,"AAAAAG/3kEk=")</f>
        <v>#REF!</v>
      </c>
      <c r="BW25" s="34" t="e">
        <f>AND(#REF!,"AAAAAG/3kEo=")</f>
        <v>#REF!</v>
      </c>
      <c r="BX25" s="34" t="e">
        <f>AND(#REF!,"AAAAAG/3kEs=")</f>
        <v>#REF!</v>
      </c>
      <c r="BY25" s="34" t="e">
        <f>AND(#REF!,"AAAAAG/3kEw=")</f>
        <v>#REF!</v>
      </c>
      <c r="BZ25" s="34" t="e">
        <f>AND(#REF!,"AAAAAG/3kE0=")</f>
        <v>#REF!</v>
      </c>
      <c r="CA25" s="34" t="e">
        <f>AND(#REF!,"AAAAAG/3kE4=")</f>
        <v>#REF!</v>
      </c>
      <c r="CB25" s="34" t="e">
        <f>AND(#REF!,"AAAAAG/3kE8=")</f>
        <v>#REF!</v>
      </c>
      <c r="CC25" s="34" t="e">
        <f>AND(#REF!,"AAAAAG/3kFA=")</f>
        <v>#REF!</v>
      </c>
      <c r="CD25" s="34" t="e">
        <f>AND(#REF!,"AAAAAG/3kFE=")</f>
        <v>#REF!</v>
      </c>
      <c r="CE25" s="34" t="e">
        <f>AND(#REF!,"AAAAAG/3kFI=")</f>
        <v>#REF!</v>
      </c>
      <c r="CF25" s="34" t="e">
        <f>AND(#REF!,"AAAAAG/3kFM=")</f>
        <v>#REF!</v>
      </c>
      <c r="CG25" s="34" t="e">
        <f>AND(#REF!,"AAAAAG/3kFQ=")</f>
        <v>#REF!</v>
      </c>
      <c r="CH25" s="34" t="e">
        <f>AND(#REF!,"AAAAAG/3kFU=")</f>
        <v>#REF!</v>
      </c>
      <c r="CI25" s="34" t="e">
        <f>IF(#REF!,"AAAAAG/3kFY=",0)</f>
        <v>#REF!</v>
      </c>
      <c r="CJ25" s="34" t="e">
        <f>AND(#REF!,"AAAAAG/3kFc=")</f>
        <v>#REF!</v>
      </c>
      <c r="CK25" s="34" t="e">
        <f>AND(#REF!,"AAAAAG/3kFg=")</f>
        <v>#REF!</v>
      </c>
      <c r="CL25" s="34" t="e">
        <f>AND(#REF!,"AAAAAG/3kFk=")</f>
        <v>#REF!</v>
      </c>
      <c r="CM25" s="34" t="e">
        <f>AND(#REF!,"AAAAAG/3kFo=")</f>
        <v>#REF!</v>
      </c>
      <c r="CN25" s="34" t="e">
        <f>AND(#REF!,"AAAAAG/3kFs=")</f>
        <v>#REF!</v>
      </c>
      <c r="CO25" s="34" t="e">
        <f>AND(#REF!,"AAAAAG/3kFw=")</f>
        <v>#REF!</v>
      </c>
      <c r="CP25" s="34" t="e">
        <f>AND(#REF!,"AAAAAG/3kF0=")</f>
        <v>#REF!</v>
      </c>
      <c r="CQ25" s="34" t="e">
        <f>AND(#REF!,"AAAAAG/3kF4=")</f>
        <v>#REF!</v>
      </c>
      <c r="CR25" s="34" t="e">
        <f>AND(#REF!,"AAAAAG/3kF8=")</f>
        <v>#REF!</v>
      </c>
      <c r="CS25" s="34" t="e">
        <f>AND(#REF!,"AAAAAG/3kGA=")</f>
        <v>#REF!</v>
      </c>
      <c r="CT25" s="34" t="e">
        <f>AND(#REF!,"AAAAAG/3kGE=")</f>
        <v>#REF!</v>
      </c>
      <c r="CU25" s="34" t="e">
        <f>AND(#REF!,"AAAAAG/3kGI=")</f>
        <v>#REF!</v>
      </c>
      <c r="CV25" s="34" t="e">
        <f>AND(#REF!,"AAAAAG/3kGM=")</f>
        <v>#REF!</v>
      </c>
      <c r="CW25" s="34" t="e">
        <f>AND(#REF!,"AAAAAG/3kGQ=")</f>
        <v>#REF!</v>
      </c>
      <c r="CX25" s="34" t="e">
        <f>AND(#REF!,"AAAAAG/3kGU=")</f>
        <v>#REF!</v>
      </c>
      <c r="CY25" s="34" t="e">
        <f>AND(#REF!,"AAAAAG/3kGY=")</f>
        <v>#REF!</v>
      </c>
      <c r="CZ25" s="34" t="e">
        <f>AND(#REF!,"AAAAAG/3kGc=")</f>
        <v>#REF!</v>
      </c>
      <c r="DA25" s="34" t="e">
        <f>AND(#REF!,"AAAAAG/3kGg=")</f>
        <v>#REF!</v>
      </c>
      <c r="DB25" s="34" t="e">
        <f>AND(#REF!,"AAAAAG/3kGk=")</f>
        <v>#REF!</v>
      </c>
      <c r="DC25" s="34" t="e">
        <f>AND(#REF!,"AAAAAG/3kGo=")</f>
        <v>#REF!</v>
      </c>
      <c r="DD25" s="34" t="e">
        <f>AND(#REF!,"AAAAAG/3kGs=")</f>
        <v>#REF!</v>
      </c>
      <c r="DE25" s="34" t="e">
        <f>AND(#REF!,"AAAAAG/3kGw=")</f>
        <v>#REF!</v>
      </c>
      <c r="DF25" s="34" t="e">
        <f>AND(#REF!,"AAAAAG/3kG0=")</f>
        <v>#REF!</v>
      </c>
      <c r="DG25" s="34" t="e">
        <f>AND(#REF!,"AAAAAG/3kG4=")</f>
        <v>#REF!</v>
      </c>
      <c r="DH25" s="34" t="e">
        <f>AND(#REF!,"AAAAAG/3kG8=")</f>
        <v>#REF!</v>
      </c>
      <c r="DI25" s="34" t="e">
        <f>AND(#REF!,"AAAAAG/3kHA=")</f>
        <v>#REF!</v>
      </c>
      <c r="DJ25" s="34" t="e">
        <f>AND(#REF!,"AAAAAG/3kHE=")</f>
        <v>#REF!</v>
      </c>
      <c r="DK25" s="34" t="e">
        <f>AND(#REF!,"AAAAAG/3kHI=")</f>
        <v>#REF!</v>
      </c>
      <c r="DL25" s="34" t="e">
        <f>AND(#REF!,"AAAAAG/3kHM=")</f>
        <v>#REF!</v>
      </c>
      <c r="DM25" s="34" t="e">
        <f>AND(#REF!,"AAAAAG/3kHQ=")</f>
        <v>#REF!</v>
      </c>
      <c r="DN25" s="34" t="e">
        <f>AND(#REF!,"AAAAAG/3kHU=")</f>
        <v>#REF!</v>
      </c>
      <c r="DO25" s="34" t="e">
        <f>AND(#REF!,"AAAAAG/3kHY=")</f>
        <v>#REF!</v>
      </c>
      <c r="DP25" s="34" t="e">
        <f>AND(#REF!,"AAAAAG/3kHc=")</f>
        <v>#REF!</v>
      </c>
      <c r="DQ25" s="34" t="e">
        <f>AND(#REF!,"AAAAAG/3kHg=")</f>
        <v>#REF!</v>
      </c>
      <c r="DR25" s="34" t="e">
        <f>AND(#REF!,"AAAAAG/3kHk=")</f>
        <v>#REF!</v>
      </c>
      <c r="DS25" s="34" t="e">
        <f>AND(#REF!,"AAAAAG/3kHo=")</f>
        <v>#REF!</v>
      </c>
      <c r="DT25" s="34" t="e">
        <f>AND(#REF!,"AAAAAG/3kHs=")</f>
        <v>#REF!</v>
      </c>
      <c r="DU25" s="34" t="e">
        <f>AND(#REF!,"AAAAAG/3kHw=")</f>
        <v>#REF!</v>
      </c>
      <c r="DV25" s="34" t="e">
        <f>AND(#REF!,"AAAAAG/3kH0=")</f>
        <v>#REF!</v>
      </c>
      <c r="DW25" s="34" t="e">
        <f>AND(#REF!,"AAAAAG/3kH4=")</f>
        <v>#REF!</v>
      </c>
      <c r="DX25" s="34" t="e">
        <f>AND(#REF!,"AAAAAG/3kH8=")</f>
        <v>#REF!</v>
      </c>
      <c r="DY25" s="34" t="e">
        <f>AND(#REF!,"AAAAAG/3kIA=")</f>
        <v>#REF!</v>
      </c>
      <c r="DZ25" s="34" t="e">
        <f>AND(#REF!,"AAAAAG/3kIE=")</f>
        <v>#REF!</v>
      </c>
      <c r="EA25" s="34" t="e">
        <f>AND(#REF!,"AAAAAG/3kII=")</f>
        <v>#REF!</v>
      </c>
      <c r="EB25" s="34" t="e">
        <f>AND(#REF!,"AAAAAG/3kIM=")</f>
        <v>#REF!</v>
      </c>
      <c r="EC25" s="34" t="e">
        <f>AND(#REF!,"AAAAAG/3kIQ=")</f>
        <v>#REF!</v>
      </c>
      <c r="ED25" s="34" t="e">
        <f>AND(#REF!,"AAAAAG/3kIU=")</f>
        <v>#REF!</v>
      </c>
      <c r="EE25" s="34" t="e">
        <f>AND(#REF!,"AAAAAG/3kIY=")</f>
        <v>#REF!</v>
      </c>
      <c r="EF25" s="34" t="e">
        <f>AND(#REF!,"AAAAAG/3kIc=")</f>
        <v>#REF!</v>
      </c>
      <c r="EG25" s="34" t="e">
        <f>AND(#REF!,"AAAAAG/3kIg=")</f>
        <v>#REF!</v>
      </c>
      <c r="EH25" s="34" t="e">
        <f>AND(#REF!,"AAAAAG/3kIk=")</f>
        <v>#REF!</v>
      </c>
      <c r="EI25" s="34" t="e">
        <f>AND(#REF!,"AAAAAG/3kIo=")</f>
        <v>#REF!</v>
      </c>
      <c r="EJ25" s="34" t="e">
        <f>AND(#REF!,"AAAAAG/3kIs=")</f>
        <v>#REF!</v>
      </c>
      <c r="EK25" s="34" t="e">
        <f>AND(#REF!,"AAAAAG/3kIw=")</f>
        <v>#REF!</v>
      </c>
      <c r="EL25" s="34" t="e">
        <f>AND(#REF!,"AAAAAG/3kI0=")</f>
        <v>#REF!</v>
      </c>
      <c r="EM25" s="34" t="e">
        <f>AND(#REF!,"AAAAAG/3kI4=")</f>
        <v>#REF!</v>
      </c>
      <c r="EN25" s="34" t="e">
        <f>AND(#REF!,"AAAAAG/3kI8=")</f>
        <v>#REF!</v>
      </c>
      <c r="EO25" s="34" t="e">
        <f>AND(#REF!,"AAAAAG/3kJA=")</f>
        <v>#REF!</v>
      </c>
      <c r="EP25" s="34" t="e">
        <f>AND(#REF!,"AAAAAG/3kJE=")</f>
        <v>#REF!</v>
      </c>
      <c r="EQ25" s="34" t="e">
        <f>AND(#REF!,"AAAAAG/3kJI=")</f>
        <v>#REF!</v>
      </c>
      <c r="ER25" s="34" t="e">
        <f>AND(#REF!,"AAAAAG/3kJM=")</f>
        <v>#REF!</v>
      </c>
      <c r="ES25" s="34" t="e">
        <f>AND(#REF!,"AAAAAG/3kJQ=")</f>
        <v>#REF!</v>
      </c>
      <c r="ET25" s="34" t="e">
        <f>AND(#REF!,"AAAAAG/3kJU=")</f>
        <v>#REF!</v>
      </c>
      <c r="EU25" s="34" t="e">
        <f>AND(#REF!,"AAAAAG/3kJY=")</f>
        <v>#REF!</v>
      </c>
      <c r="EV25" s="34" t="e">
        <f>AND(#REF!,"AAAAAG/3kJc=")</f>
        <v>#REF!</v>
      </c>
      <c r="EW25" s="34" t="e">
        <f>AND(#REF!,"AAAAAG/3kJg=")</f>
        <v>#REF!</v>
      </c>
      <c r="EX25" s="34" t="e">
        <f>AND(#REF!,"AAAAAG/3kJk=")</f>
        <v>#REF!</v>
      </c>
      <c r="EY25" s="34" t="e">
        <f>AND(#REF!,"AAAAAG/3kJo=")</f>
        <v>#REF!</v>
      </c>
      <c r="EZ25" s="34" t="e">
        <f>AND(#REF!,"AAAAAG/3kJs=")</f>
        <v>#REF!</v>
      </c>
      <c r="FA25" s="34" t="e">
        <f>AND(#REF!,"AAAAAG/3kJw=")</f>
        <v>#REF!</v>
      </c>
      <c r="FB25" s="34" t="e">
        <f>AND(#REF!,"AAAAAG/3kJ0=")</f>
        <v>#REF!</v>
      </c>
      <c r="FC25" s="34" t="e">
        <f>AND(#REF!,"AAAAAG/3kJ4=")</f>
        <v>#REF!</v>
      </c>
      <c r="FD25" s="34" t="e">
        <f>IF(#REF!,"AAAAAG/3kJ8=",0)</f>
        <v>#REF!</v>
      </c>
      <c r="FE25" s="34" t="e">
        <f>AND(#REF!,"AAAAAG/3kKA=")</f>
        <v>#REF!</v>
      </c>
      <c r="FF25" s="34" t="e">
        <f>AND(#REF!,"AAAAAG/3kKE=")</f>
        <v>#REF!</v>
      </c>
      <c r="FG25" s="34" t="e">
        <f>AND(#REF!,"AAAAAG/3kKI=")</f>
        <v>#REF!</v>
      </c>
      <c r="FH25" s="34" t="e">
        <f>AND(#REF!,"AAAAAG/3kKM=")</f>
        <v>#REF!</v>
      </c>
      <c r="FI25" s="34" t="e">
        <f>AND(#REF!,"AAAAAG/3kKQ=")</f>
        <v>#REF!</v>
      </c>
      <c r="FJ25" s="34" t="e">
        <f>AND(#REF!,"AAAAAG/3kKU=")</f>
        <v>#REF!</v>
      </c>
      <c r="FK25" s="34" t="e">
        <f>AND(#REF!,"AAAAAG/3kKY=")</f>
        <v>#REF!</v>
      </c>
      <c r="FL25" s="34" t="e">
        <f>AND(#REF!,"AAAAAG/3kKc=")</f>
        <v>#REF!</v>
      </c>
      <c r="FM25" s="34" t="e">
        <f>AND(#REF!,"AAAAAG/3kKg=")</f>
        <v>#REF!</v>
      </c>
      <c r="FN25" s="34" t="e">
        <f>AND(#REF!,"AAAAAG/3kKk=")</f>
        <v>#REF!</v>
      </c>
      <c r="FO25" s="34" t="e">
        <f>AND(#REF!,"AAAAAG/3kKo=")</f>
        <v>#REF!</v>
      </c>
      <c r="FP25" s="34" t="e">
        <f>AND(#REF!,"AAAAAG/3kKs=")</f>
        <v>#REF!</v>
      </c>
      <c r="FQ25" s="34" t="e">
        <f>AND(#REF!,"AAAAAG/3kKw=")</f>
        <v>#REF!</v>
      </c>
      <c r="FR25" s="34" t="e">
        <f>AND(#REF!,"AAAAAG/3kK0=")</f>
        <v>#REF!</v>
      </c>
      <c r="FS25" s="34" t="e">
        <f>AND(#REF!,"AAAAAG/3kK4=")</f>
        <v>#REF!</v>
      </c>
      <c r="FT25" s="34" t="e">
        <f>AND(#REF!,"AAAAAG/3kK8=")</f>
        <v>#REF!</v>
      </c>
      <c r="FU25" s="34" t="e">
        <f>AND(#REF!,"AAAAAG/3kLA=")</f>
        <v>#REF!</v>
      </c>
      <c r="FV25" s="34" t="e">
        <f>AND(#REF!,"AAAAAG/3kLE=")</f>
        <v>#REF!</v>
      </c>
      <c r="FW25" s="34" t="e">
        <f>AND(#REF!,"AAAAAG/3kLI=")</f>
        <v>#REF!</v>
      </c>
      <c r="FX25" s="34" t="e">
        <f>AND(#REF!,"AAAAAG/3kLM=")</f>
        <v>#REF!</v>
      </c>
      <c r="FY25" s="34" t="e">
        <f>AND(#REF!,"AAAAAG/3kLQ=")</f>
        <v>#REF!</v>
      </c>
      <c r="FZ25" s="34" t="e">
        <f>AND(#REF!,"AAAAAG/3kLU=")</f>
        <v>#REF!</v>
      </c>
      <c r="GA25" s="34" t="e">
        <f>AND(#REF!,"AAAAAG/3kLY=")</f>
        <v>#REF!</v>
      </c>
      <c r="GB25" s="34" t="e">
        <f>AND(#REF!,"AAAAAG/3kLc=")</f>
        <v>#REF!</v>
      </c>
      <c r="GC25" s="34" t="e">
        <f>AND(#REF!,"AAAAAG/3kLg=")</f>
        <v>#REF!</v>
      </c>
      <c r="GD25" s="34" t="e">
        <f>AND(#REF!,"AAAAAG/3kLk=")</f>
        <v>#REF!</v>
      </c>
      <c r="GE25" s="34" t="e">
        <f>AND(#REF!,"AAAAAG/3kLo=")</f>
        <v>#REF!</v>
      </c>
      <c r="GF25" s="34" t="e">
        <f>AND(#REF!,"AAAAAG/3kLs=")</f>
        <v>#REF!</v>
      </c>
      <c r="GG25" s="34" t="e">
        <f>AND(#REF!,"AAAAAG/3kLw=")</f>
        <v>#REF!</v>
      </c>
      <c r="GH25" s="34" t="e">
        <f>AND(#REF!,"AAAAAG/3kL0=")</f>
        <v>#REF!</v>
      </c>
      <c r="GI25" s="34" t="e">
        <f>AND(#REF!,"AAAAAG/3kL4=")</f>
        <v>#REF!</v>
      </c>
      <c r="GJ25" s="34" t="e">
        <f>AND(#REF!,"AAAAAG/3kL8=")</f>
        <v>#REF!</v>
      </c>
      <c r="GK25" s="34" t="e">
        <f>AND(#REF!,"AAAAAG/3kMA=")</f>
        <v>#REF!</v>
      </c>
      <c r="GL25" s="34" t="e">
        <f>AND(#REF!,"AAAAAG/3kME=")</f>
        <v>#REF!</v>
      </c>
      <c r="GM25" s="34" t="e">
        <f>AND(#REF!,"AAAAAG/3kMI=")</f>
        <v>#REF!</v>
      </c>
      <c r="GN25" s="34" t="e">
        <f>AND(#REF!,"AAAAAG/3kMM=")</f>
        <v>#REF!</v>
      </c>
      <c r="GO25" s="34" t="e">
        <f>AND(#REF!,"AAAAAG/3kMQ=")</f>
        <v>#REF!</v>
      </c>
      <c r="GP25" s="34" t="e">
        <f>AND(#REF!,"AAAAAG/3kMU=")</f>
        <v>#REF!</v>
      </c>
      <c r="GQ25" s="34" t="e">
        <f>AND(#REF!,"AAAAAG/3kMY=")</f>
        <v>#REF!</v>
      </c>
      <c r="GR25" s="34" t="e">
        <f>AND(#REF!,"AAAAAG/3kMc=")</f>
        <v>#REF!</v>
      </c>
      <c r="GS25" s="34" t="e">
        <f>AND(#REF!,"AAAAAG/3kMg=")</f>
        <v>#REF!</v>
      </c>
      <c r="GT25" s="34" t="e">
        <f>AND(#REF!,"AAAAAG/3kMk=")</f>
        <v>#REF!</v>
      </c>
      <c r="GU25" s="34" t="e">
        <f>AND(#REF!,"AAAAAG/3kMo=")</f>
        <v>#REF!</v>
      </c>
      <c r="GV25" s="34" t="e">
        <f>AND(#REF!,"AAAAAG/3kMs=")</f>
        <v>#REF!</v>
      </c>
      <c r="GW25" s="34" t="e">
        <f>AND(#REF!,"AAAAAG/3kMw=")</f>
        <v>#REF!</v>
      </c>
      <c r="GX25" s="34" t="e">
        <f>AND(#REF!,"AAAAAG/3kM0=")</f>
        <v>#REF!</v>
      </c>
      <c r="GY25" s="34" t="e">
        <f>AND(#REF!,"AAAAAG/3kM4=")</f>
        <v>#REF!</v>
      </c>
      <c r="GZ25" s="34" t="e">
        <f>AND(#REF!,"AAAAAG/3kM8=")</f>
        <v>#REF!</v>
      </c>
      <c r="HA25" s="34" t="e">
        <f>AND(#REF!,"AAAAAG/3kNA=")</f>
        <v>#REF!</v>
      </c>
      <c r="HB25" s="34" t="e">
        <f>AND(#REF!,"AAAAAG/3kNE=")</f>
        <v>#REF!</v>
      </c>
      <c r="HC25" s="34" t="e">
        <f>AND(#REF!,"AAAAAG/3kNI=")</f>
        <v>#REF!</v>
      </c>
      <c r="HD25" s="34" t="e">
        <f>AND(#REF!,"AAAAAG/3kNM=")</f>
        <v>#REF!</v>
      </c>
      <c r="HE25" s="34" t="e">
        <f>AND(#REF!,"AAAAAG/3kNQ=")</f>
        <v>#REF!</v>
      </c>
      <c r="HF25" s="34" t="e">
        <f>AND(#REF!,"AAAAAG/3kNU=")</f>
        <v>#REF!</v>
      </c>
      <c r="HG25" s="34" t="e">
        <f>AND(#REF!,"AAAAAG/3kNY=")</f>
        <v>#REF!</v>
      </c>
      <c r="HH25" s="34" t="e">
        <f>AND(#REF!,"AAAAAG/3kNc=")</f>
        <v>#REF!</v>
      </c>
      <c r="HI25" s="34" t="e">
        <f>AND(#REF!,"AAAAAG/3kNg=")</f>
        <v>#REF!</v>
      </c>
      <c r="HJ25" s="34" t="e">
        <f>AND(#REF!,"AAAAAG/3kNk=")</f>
        <v>#REF!</v>
      </c>
      <c r="HK25" s="34" t="e">
        <f>AND(#REF!,"AAAAAG/3kNo=")</f>
        <v>#REF!</v>
      </c>
      <c r="HL25" s="34" t="e">
        <f>AND(#REF!,"AAAAAG/3kNs=")</f>
        <v>#REF!</v>
      </c>
      <c r="HM25" s="34" t="e">
        <f>AND(#REF!,"AAAAAG/3kNw=")</f>
        <v>#REF!</v>
      </c>
      <c r="HN25" s="34" t="e">
        <f>AND(#REF!,"AAAAAG/3kN0=")</f>
        <v>#REF!</v>
      </c>
      <c r="HO25" s="34" t="e">
        <f>AND(#REF!,"AAAAAG/3kN4=")</f>
        <v>#REF!</v>
      </c>
      <c r="HP25" s="34" t="e">
        <f>AND(#REF!,"AAAAAG/3kN8=")</f>
        <v>#REF!</v>
      </c>
      <c r="HQ25" s="34" t="e">
        <f>AND(#REF!,"AAAAAG/3kOA=")</f>
        <v>#REF!</v>
      </c>
      <c r="HR25" s="34" t="e">
        <f>AND(#REF!,"AAAAAG/3kOE=")</f>
        <v>#REF!</v>
      </c>
      <c r="HS25" s="34" t="e">
        <f>AND(#REF!,"AAAAAG/3kOI=")</f>
        <v>#REF!</v>
      </c>
      <c r="HT25" s="34" t="e">
        <f>AND(#REF!,"AAAAAG/3kOM=")</f>
        <v>#REF!</v>
      </c>
      <c r="HU25" s="34" t="e">
        <f>AND(#REF!,"AAAAAG/3kOQ=")</f>
        <v>#REF!</v>
      </c>
      <c r="HV25" s="34" t="e">
        <f>AND(#REF!,"AAAAAG/3kOU=")</f>
        <v>#REF!</v>
      </c>
      <c r="HW25" s="34" t="e">
        <f>AND(#REF!,"AAAAAG/3kOY=")</f>
        <v>#REF!</v>
      </c>
      <c r="HX25" s="34" t="e">
        <f>AND(#REF!,"AAAAAG/3kOc=")</f>
        <v>#REF!</v>
      </c>
      <c r="HY25" s="34" t="e">
        <f>IF(#REF!,"AAAAAG/3kOg=",0)</f>
        <v>#REF!</v>
      </c>
      <c r="HZ25" s="34" t="e">
        <f>AND(#REF!,"AAAAAG/3kOk=")</f>
        <v>#REF!</v>
      </c>
      <c r="IA25" s="34" t="e">
        <f>AND(#REF!,"AAAAAG/3kOo=")</f>
        <v>#REF!</v>
      </c>
      <c r="IB25" s="34" t="e">
        <f>AND(#REF!,"AAAAAG/3kOs=")</f>
        <v>#REF!</v>
      </c>
      <c r="IC25" s="34" t="e">
        <f>AND(#REF!,"AAAAAG/3kOw=")</f>
        <v>#REF!</v>
      </c>
      <c r="ID25" s="34" t="e">
        <f>AND(#REF!,"AAAAAG/3kO0=")</f>
        <v>#REF!</v>
      </c>
      <c r="IE25" s="34" t="e">
        <f>AND(#REF!,"AAAAAG/3kO4=")</f>
        <v>#REF!</v>
      </c>
      <c r="IF25" s="34" t="e">
        <f>AND(#REF!,"AAAAAG/3kO8=")</f>
        <v>#REF!</v>
      </c>
      <c r="IG25" s="34" t="e">
        <f>AND(#REF!,"AAAAAG/3kPA=")</f>
        <v>#REF!</v>
      </c>
      <c r="IH25" s="34" t="e">
        <f>AND(#REF!,"AAAAAG/3kPE=")</f>
        <v>#REF!</v>
      </c>
      <c r="II25" s="34" t="e">
        <f>AND(#REF!,"AAAAAG/3kPI=")</f>
        <v>#REF!</v>
      </c>
      <c r="IJ25" s="34" t="e">
        <f>AND(#REF!,"AAAAAG/3kPM=")</f>
        <v>#REF!</v>
      </c>
      <c r="IK25" s="34" t="e">
        <f>AND(#REF!,"AAAAAG/3kPQ=")</f>
        <v>#REF!</v>
      </c>
      <c r="IL25" s="34" t="e">
        <f>AND(#REF!,"AAAAAG/3kPU=")</f>
        <v>#REF!</v>
      </c>
      <c r="IM25" s="34" t="e">
        <f>AND(#REF!,"AAAAAG/3kPY=")</f>
        <v>#REF!</v>
      </c>
      <c r="IN25" s="34" t="e">
        <f>AND(#REF!,"AAAAAG/3kPc=")</f>
        <v>#REF!</v>
      </c>
      <c r="IO25" s="34" t="e">
        <f>AND(#REF!,"AAAAAG/3kPg=")</f>
        <v>#REF!</v>
      </c>
      <c r="IP25" s="34" t="e">
        <f>AND(#REF!,"AAAAAG/3kPk=")</f>
        <v>#REF!</v>
      </c>
      <c r="IQ25" s="34" t="e">
        <f>AND(#REF!,"AAAAAG/3kPo=")</f>
        <v>#REF!</v>
      </c>
      <c r="IR25" s="34" t="e">
        <f>AND(#REF!,"AAAAAG/3kPs=")</f>
        <v>#REF!</v>
      </c>
      <c r="IS25" s="34" t="e">
        <f>AND(#REF!,"AAAAAG/3kPw=")</f>
        <v>#REF!</v>
      </c>
      <c r="IT25" s="34" t="e">
        <f>AND(#REF!,"AAAAAG/3kP0=")</f>
        <v>#REF!</v>
      </c>
      <c r="IU25" s="34" t="e">
        <f>AND(#REF!,"AAAAAG/3kP4=")</f>
        <v>#REF!</v>
      </c>
      <c r="IV25" s="34" t="e">
        <f>AND(#REF!,"AAAAAG/3kP8=")</f>
        <v>#REF!</v>
      </c>
    </row>
    <row r="26" spans="1:256" ht="12.75" customHeight="1" x14ac:dyDescent="0.2">
      <c r="A26" s="34" t="e">
        <f>AND(#REF!,"AAAAAH3/3QA=")</f>
        <v>#REF!</v>
      </c>
      <c r="B26" s="34" t="e">
        <f>AND(#REF!,"AAAAAH3/3QE=")</f>
        <v>#REF!</v>
      </c>
      <c r="C26" s="34" t="e">
        <f>AND(#REF!,"AAAAAH3/3QI=")</f>
        <v>#REF!</v>
      </c>
      <c r="D26" s="34" t="e">
        <f>AND(#REF!,"AAAAAH3/3QM=")</f>
        <v>#REF!</v>
      </c>
      <c r="E26" s="34" t="e">
        <f>AND(#REF!,"AAAAAH3/3QQ=")</f>
        <v>#REF!</v>
      </c>
      <c r="F26" s="34" t="e">
        <f>AND(#REF!,"AAAAAH3/3QU=")</f>
        <v>#REF!</v>
      </c>
      <c r="G26" s="34" t="e">
        <f>AND(#REF!,"AAAAAH3/3QY=")</f>
        <v>#REF!</v>
      </c>
      <c r="H26" s="34" t="e">
        <f>AND(#REF!,"AAAAAH3/3Qc=")</f>
        <v>#REF!</v>
      </c>
      <c r="I26" s="34" t="e">
        <f>AND(#REF!,"AAAAAH3/3Qg=")</f>
        <v>#REF!</v>
      </c>
      <c r="J26" s="34" t="e">
        <f>AND(#REF!,"AAAAAH3/3Qk=")</f>
        <v>#REF!</v>
      </c>
      <c r="K26" s="34" t="e">
        <f>AND(#REF!,"AAAAAH3/3Qo=")</f>
        <v>#REF!</v>
      </c>
      <c r="L26" s="34" t="e">
        <f>AND(#REF!,"AAAAAH3/3Qs=")</f>
        <v>#REF!</v>
      </c>
      <c r="M26" s="34" t="e">
        <f>AND(#REF!,"AAAAAH3/3Qw=")</f>
        <v>#REF!</v>
      </c>
      <c r="N26" s="34" t="e">
        <f>AND(#REF!,"AAAAAH3/3Q0=")</f>
        <v>#REF!</v>
      </c>
      <c r="O26" s="34" t="e">
        <f>AND(#REF!,"AAAAAH3/3Q4=")</f>
        <v>#REF!</v>
      </c>
      <c r="P26" s="34" t="e">
        <f>AND(#REF!,"AAAAAH3/3Q8=")</f>
        <v>#REF!</v>
      </c>
      <c r="Q26" s="34" t="e">
        <f>AND(#REF!,"AAAAAH3/3RA=")</f>
        <v>#REF!</v>
      </c>
      <c r="R26" s="34" t="e">
        <f>AND(#REF!,"AAAAAH3/3RE=")</f>
        <v>#REF!</v>
      </c>
      <c r="S26" s="34" t="e">
        <f>AND(#REF!,"AAAAAH3/3RI=")</f>
        <v>#REF!</v>
      </c>
      <c r="T26" s="34" t="e">
        <f>AND(#REF!,"AAAAAH3/3RM=")</f>
        <v>#REF!</v>
      </c>
      <c r="U26" s="34" t="e">
        <f>AND(#REF!,"AAAAAH3/3RQ=")</f>
        <v>#REF!</v>
      </c>
      <c r="V26" s="34" t="e">
        <f>AND(#REF!,"AAAAAH3/3RU=")</f>
        <v>#REF!</v>
      </c>
      <c r="W26" s="34" t="e">
        <f>AND(#REF!,"AAAAAH3/3RY=")</f>
        <v>#REF!</v>
      </c>
      <c r="X26" s="34" t="e">
        <f>AND(#REF!,"AAAAAH3/3Rc=")</f>
        <v>#REF!</v>
      </c>
      <c r="Y26" s="34" t="e">
        <f>AND(#REF!,"AAAAAH3/3Rg=")</f>
        <v>#REF!</v>
      </c>
      <c r="Z26" s="34" t="e">
        <f>AND(#REF!,"AAAAAH3/3Rk=")</f>
        <v>#REF!</v>
      </c>
      <c r="AA26" s="34" t="e">
        <f>AND(#REF!,"AAAAAH3/3Ro=")</f>
        <v>#REF!</v>
      </c>
      <c r="AB26" s="34" t="e">
        <f>AND(#REF!,"AAAAAH3/3Rs=")</f>
        <v>#REF!</v>
      </c>
      <c r="AC26" s="34" t="e">
        <f>AND(#REF!,"AAAAAH3/3Rw=")</f>
        <v>#REF!</v>
      </c>
      <c r="AD26" s="34" t="e">
        <f>AND(#REF!,"AAAAAH3/3R0=")</f>
        <v>#REF!</v>
      </c>
      <c r="AE26" s="34" t="e">
        <f>AND(#REF!,"AAAAAH3/3R4=")</f>
        <v>#REF!</v>
      </c>
      <c r="AF26" s="34" t="e">
        <f>AND(#REF!,"AAAAAH3/3R8=")</f>
        <v>#REF!</v>
      </c>
      <c r="AG26" s="34" t="e">
        <f>AND(#REF!,"AAAAAH3/3SA=")</f>
        <v>#REF!</v>
      </c>
      <c r="AH26" s="34" t="e">
        <f>AND(#REF!,"AAAAAH3/3SE=")</f>
        <v>#REF!</v>
      </c>
      <c r="AI26" s="34" t="e">
        <f>AND(#REF!,"AAAAAH3/3SI=")</f>
        <v>#REF!</v>
      </c>
      <c r="AJ26" s="34" t="e">
        <f>AND(#REF!,"AAAAAH3/3SM=")</f>
        <v>#REF!</v>
      </c>
      <c r="AK26" s="34" t="e">
        <f>AND(#REF!,"AAAAAH3/3SQ=")</f>
        <v>#REF!</v>
      </c>
      <c r="AL26" s="34" t="e">
        <f>AND(#REF!,"AAAAAH3/3SU=")</f>
        <v>#REF!</v>
      </c>
      <c r="AM26" s="34" t="e">
        <f>AND(#REF!,"AAAAAH3/3SY=")</f>
        <v>#REF!</v>
      </c>
      <c r="AN26" s="34" t="e">
        <f>AND(#REF!,"AAAAAH3/3Sc=")</f>
        <v>#REF!</v>
      </c>
      <c r="AO26" s="34" t="e">
        <f>AND(#REF!,"AAAAAH3/3Sg=")</f>
        <v>#REF!</v>
      </c>
      <c r="AP26" s="34" t="e">
        <f>AND(#REF!,"AAAAAH3/3Sk=")</f>
        <v>#REF!</v>
      </c>
      <c r="AQ26" s="34" t="e">
        <f>AND(#REF!,"AAAAAH3/3So=")</f>
        <v>#REF!</v>
      </c>
      <c r="AR26" s="34" t="e">
        <f>AND(#REF!,"AAAAAH3/3Ss=")</f>
        <v>#REF!</v>
      </c>
      <c r="AS26" s="34" t="e">
        <f>AND(#REF!,"AAAAAH3/3Sw=")</f>
        <v>#REF!</v>
      </c>
      <c r="AT26" s="34" t="e">
        <f>AND(#REF!,"AAAAAH3/3S0=")</f>
        <v>#REF!</v>
      </c>
      <c r="AU26" s="34" t="e">
        <f>AND(#REF!,"AAAAAH3/3S4=")</f>
        <v>#REF!</v>
      </c>
      <c r="AV26" s="34" t="e">
        <f>AND(#REF!,"AAAAAH3/3S8=")</f>
        <v>#REF!</v>
      </c>
      <c r="AW26" s="34" t="e">
        <f>AND(#REF!,"AAAAAH3/3TA=")</f>
        <v>#REF!</v>
      </c>
      <c r="AX26" s="34" t="e">
        <f>IF(#REF!,"AAAAAH3/3TE=",0)</f>
        <v>#REF!</v>
      </c>
      <c r="AY26" s="34" t="e">
        <f>AND(#REF!,"AAAAAH3/3TI=")</f>
        <v>#REF!</v>
      </c>
      <c r="AZ26" s="34" t="e">
        <f>AND(#REF!,"AAAAAH3/3TM=")</f>
        <v>#REF!</v>
      </c>
      <c r="BA26" s="34" t="e">
        <f>AND(#REF!,"AAAAAH3/3TQ=")</f>
        <v>#REF!</v>
      </c>
      <c r="BB26" s="34" t="e">
        <f>AND(#REF!,"AAAAAH3/3TU=")</f>
        <v>#REF!</v>
      </c>
      <c r="BC26" s="34" t="e">
        <f>AND(#REF!,"AAAAAH3/3TY=")</f>
        <v>#REF!</v>
      </c>
      <c r="BD26" s="34" t="e">
        <f>AND(#REF!,"AAAAAH3/3Tc=")</f>
        <v>#REF!</v>
      </c>
      <c r="BE26" s="34" t="e">
        <f>AND(#REF!,"AAAAAH3/3Tg=")</f>
        <v>#REF!</v>
      </c>
      <c r="BF26" s="34" t="e">
        <f>AND(#REF!,"AAAAAH3/3Tk=")</f>
        <v>#REF!</v>
      </c>
      <c r="BG26" s="34" t="e">
        <f>AND(#REF!,"AAAAAH3/3To=")</f>
        <v>#REF!</v>
      </c>
      <c r="BH26" s="34" t="e">
        <f>AND(#REF!,"AAAAAH3/3Ts=")</f>
        <v>#REF!</v>
      </c>
      <c r="BI26" s="34" t="e">
        <f>AND(#REF!,"AAAAAH3/3Tw=")</f>
        <v>#REF!</v>
      </c>
      <c r="BJ26" s="34" t="e">
        <f>AND(#REF!,"AAAAAH3/3T0=")</f>
        <v>#REF!</v>
      </c>
      <c r="BK26" s="34" t="e">
        <f>AND(#REF!,"AAAAAH3/3T4=")</f>
        <v>#REF!</v>
      </c>
      <c r="BL26" s="34" t="e">
        <f>AND(#REF!,"AAAAAH3/3T8=")</f>
        <v>#REF!</v>
      </c>
      <c r="BM26" s="34" t="e">
        <f>AND(#REF!,"AAAAAH3/3UA=")</f>
        <v>#REF!</v>
      </c>
      <c r="BN26" s="34" t="e">
        <f>AND(#REF!,"AAAAAH3/3UE=")</f>
        <v>#REF!</v>
      </c>
      <c r="BO26" s="34" t="e">
        <f>AND(#REF!,"AAAAAH3/3UI=")</f>
        <v>#REF!</v>
      </c>
      <c r="BP26" s="34" t="e">
        <f>AND(#REF!,"AAAAAH3/3UM=")</f>
        <v>#REF!</v>
      </c>
      <c r="BQ26" s="34" t="e">
        <f>AND(#REF!,"AAAAAH3/3UQ=")</f>
        <v>#REF!</v>
      </c>
      <c r="BR26" s="34" t="e">
        <f>AND(#REF!,"AAAAAH3/3UU=")</f>
        <v>#REF!</v>
      </c>
      <c r="BS26" s="34" t="e">
        <f>AND(#REF!,"AAAAAH3/3UY=")</f>
        <v>#REF!</v>
      </c>
      <c r="BT26" s="34" t="e">
        <f>AND(#REF!,"AAAAAH3/3Uc=")</f>
        <v>#REF!</v>
      </c>
      <c r="BU26" s="34" t="e">
        <f>AND(#REF!,"AAAAAH3/3Ug=")</f>
        <v>#REF!</v>
      </c>
      <c r="BV26" s="34" t="e">
        <f>AND(#REF!,"AAAAAH3/3Uk=")</f>
        <v>#REF!</v>
      </c>
      <c r="BW26" s="34" t="e">
        <f>AND(#REF!,"AAAAAH3/3Uo=")</f>
        <v>#REF!</v>
      </c>
      <c r="BX26" s="34" t="e">
        <f>AND(#REF!,"AAAAAH3/3Us=")</f>
        <v>#REF!</v>
      </c>
      <c r="BY26" s="34" t="e">
        <f>AND(#REF!,"AAAAAH3/3Uw=")</f>
        <v>#REF!</v>
      </c>
      <c r="BZ26" s="34" t="e">
        <f>AND(#REF!,"AAAAAH3/3U0=")</f>
        <v>#REF!</v>
      </c>
      <c r="CA26" s="34" t="e">
        <f>AND(#REF!,"AAAAAH3/3U4=")</f>
        <v>#REF!</v>
      </c>
      <c r="CB26" s="34" t="e">
        <f>AND(#REF!,"AAAAAH3/3U8=")</f>
        <v>#REF!</v>
      </c>
      <c r="CC26" s="34" t="e">
        <f>AND(#REF!,"AAAAAH3/3VA=")</f>
        <v>#REF!</v>
      </c>
      <c r="CD26" s="34" t="e">
        <f>AND(#REF!,"AAAAAH3/3VE=")</f>
        <v>#REF!</v>
      </c>
      <c r="CE26" s="34" t="e">
        <f>AND(#REF!,"AAAAAH3/3VI=")</f>
        <v>#REF!</v>
      </c>
      <c r="CF26" s="34" t="e">
        <f>AND(#REF!,"AAAAAH3/3VM=")</f>
        <v>#REF!</v>
      </c>
      <c r="CG26" s="34" t="e">
        <f>AND(#REF!,"AAAAAH3/3VQ=")</f>
        <v>#REF!</v>
      </c>
      <c r="CH26" s="34" t="e">
        <f>AND(#REF!,"AAAAAH3/3VU=")</f>
        <v>#REF!</v>
      </c>
      <c r="CI26" s="34" t="e">
        <f>AND(#REF!,"AAAAAH3/3VY=")</f>
        <v>#REF!</v>
      </c>
      <c r="CJ26" s="34" t="e">
        <f>AND(#REF!,"AAAAAH3/3Vc=")</f>
        <v>#REF!</v>
      </c>
      <c r="CK26" s="34" t="e">
        <f>AND(#REF!,"AAAAAH3/3Vg=")</f>
        <v>#REF!</v>
      </c>
      <c r="CL26" s="34" t="e">
        <f>AND(#REF!,"AAAAAH3/3Vk=")</f>
        <v>#REF!</v>
      </c>
      <c r="CM26" s="34" t="e">
        <f>AND(#REF!,"AAAAAH3/3Vo=")</f>
        <v>#REF!</v>
      </c>
      <c r="CN26" s="34" t="e">
        <f>AND(#REF!,"AAAAAH3/3Vs=")</f>
        <v>#REF!</v>
      </c>
      <c r="CO26" s="34" t="e">
        <f>AND(#REF!,"AAAAAH3/3Vw=")</f>
        <v>#REF!</v>
      </c>
      <c r="CP26" s="34" t="e">
        <f>AND(#REF!,"AAAAAH3/3V0=")</f>
        <v>#REF!</v>
      </c>
      <c r="CQ26" s="34" t="e">
        <f>AND(#REF!,"AAAAAH3/3V4=")</f>
        <v>#REF!</v>
      </c>
      <c r="CR26" s="34" t="e">
        <f>AND(#REF!,"AAAAAH3/3V8=")</f>
        <v>#REF!</v>
      </c>
      <c r="CS26" s="34" t="e">
        <f>AND(#REF!,"AAAAAH3/3WA=")</f>
        <v>#REF!</v>
      </c>
      <c r="CT26" s="34" t="e">
        <f>AND(#REF!,"AAAAAH3/3WE=")</f>
        <v>#REF!</v>
      </c>
      <c r="CU26" s="34" t="e">
        <f>AND(#REF!,"AAAAAH3/3WI=")</f>
        <v>#REF!</v>
      </c>
      <c r="CV26" s="34" t="e">
        <f>AND(#REF!,"AAAAAH3/3WM=")</f>
        <v>#REF!</v>
      </c>
      <c r="CW26" s="34" t="e">
        <f>AND(#REF!,"AAAAAH3/3WQ=")</f>
        <v>#REF!</v>
      </c>
      <c r="CX26" s="34" t="e">
        <f>AND(#REF!,"AAAAAH3/3WU=")</f>
        <v>#REF!</v>
      </c>
      <c r="CY26" s="34" t="e">
        <f>AND(#REF!,"AAAAAH3/3WY=")</f>
        <v>#REF!</v>
      </c>
      <c r="CZ26" s="34" t="e">
        <f>AND(#REF!,"AAAAAH3/3Wc=")</f>
        <v>#REF!</v>
      </c>
      <c r="DA26" s="34" t="e">
        <f>AND(#REF!,"AAAAAH3/3Wg=")</f>
        <v>#REF!</v>
      </c>
      <c r="DB26" s="34" t="e">
        <f>AND(#REF!,"AAAAAH3/3Wk=")</f>
        <v>#REF!</v>
      </c>
      <c r="DC26" s="34" t="e">
        <f>AND(#REF!,"AAAAAH3/3Wo=")</f>
        <v>#REF!</v>
      </c>
      <c r="DD26" s="34" t="e">
        <f>AND(#REF!,"AAAAAH3/3Ws=")</f>
        <v>#REF!</v>
      </c>
      <c r="DE26" s="34" t="e">
        <f>AND(#REF!,"AAAAAH3/3Ww=")</f>
        <v>#REF!</v>
      </c>
      <c r="DF26" s="34" t="e">
        <f>AND(#REF!,"AAAAAH3/3W0=")</f>
        <v>#REF!</v>
      </c>
      <c r="DG26" s="34" t="e">
        <f>AND(#REF!,"AAAAAH3/3W4=")</f>
        <v>#REF!</v>
      </c>
      <c r="DH26" s="34" t="e">
        <f>AND(#REF!,"AAAAAH3/3W8=")</f>
        <v>#REF!</v>
      </c>
      <c r="DI26" s="34" t="e">
        <f>AND(#REF!,"AAAAAH3/3XA=")</f>
        <v>#REF!</v>
      </c>
      <c r="DJ26" s="34" t="e">
        <f>AND(#REF!,"AAAAAH3/3XE=")</f>
        <v>#REF!</v>
      </c>
      <c r="DK26" s="34" t="e">
        <f>AND(#REF!,"AAAAAH3/3XI=")</f>
        <v>#REF!</v>
      </c>
      <c r="DL26" s="34" t="e">
        <f>AND(#REF!,"AAAAAH3/3XM=")</f>
        <v>#REF!</v>
      </c>
      <c r="DM26" s="34" t="e">
        <f>AND(#REF!,"AAAAAH3/3XQ=")</f>
        <v>#REF!</v>
      </c>
      <c r="DN26" s="34" t="e">
        <f>AND(#REF!,"AAAAAH3/3XU=")</f>
        <v>#REF!</v>
      </c>
      <c r="DO26" s="34" t="e">
        <f>AND(#REF!,"AAAAAH3/3XY=")</f>
        <v>#REF!</v>
      </c>
      <c r="DP26" s="34" t="e">
        <f>AND(#REF!,"AAAAAH3/3Xc=")</f>
        <v>#REF!</v>
      </c>
      <c r="DQ26" s="34" t="e">
        <f>AND(#REF!,"AAAAAH3/3Xg=")</f>
        <v>#REF!</v>
      </c>
      <c r="DR26" s="34" t="e">
        <f>AND(#REF!,"AAAAAH3/3Xk=")</f>
        <v>#REF!</v>
      </c>
      <c r="DS26" s="34" t="e">
        <f>IF(#REF!,"AAAAAH3/3Xo=",0)</f>
        <v>#REF!</v>
      </c>
      <c r="DT26" s="34" t="e">
        <f>AND(#REF!,"AAAAAH3/3Xs=")</f>
        <v>#REF!</v>
      </c>
      <c r="DU26" s="34" t="e">
        <f>AND(#REF!,"AAAAAH3/3Xw=")</f>
        <v>#REF!</v>
      </c>
      <c r="DV26" s="34" t="e">
        <f>AND(#REF!,"AAAAAH3/3X0=")</f>
        <v>#REF!</v>
      </c>
      <c r="DW26" s="34" t="e">
        <f>AND(#REF!,"AAAAAH3/3X4=")</f>
        <v>#REF!</v>
      </c>
      <c r="DX26" s="34" t="e">
        <f>AND(#REF!,"AAAAAH3/3X8=")</f>
        <v>#REF!</v>
      </c>
      <c r="DY26" s="34" t="e">
        <f>AND(#REF!,"AAAAAH3/3YA=")</f>
        <v>#REF!</v>
      </c>
      <c r="DZ26" s="34" t="e">
        <f>AND(#REF!,"AAAAAH3/3YE=")</f>
        <v>#REF!</v>
      </c>
      <c r="EA26" s="34" t="e">
        <f>AND(#REF!,"AAAAAH3/3YI=")</f>
        <v>#REF!</v>
      </c>
      <c r="EB26" s="34" t="e">
        <f>AND(#REF!,"AAAAAH3/3YM=")</f>
        <v>#REF!</v>
      </c>
      <c r="EC26" s="34" t="e">
        <f>AND(#REF!,"AAAAAH3/3YQ=")</f>
        <v>#REF!</v>
      </c>
      <c r="ED26" s="34" t="e">
        <f>AND(#REF!,"AAAAAH3/3YU=")</f>
        <v>#REF!</v>
      </c>
      <c r="EE26" s="34" t="e">
        <f>AND(#REF!,"AAAAAH3/3YY=")</f>
        <v>#REF!</v>
      </c>
      <c r="EF26" s="34" t="e">
        <f>AND(#REF!,"AAAAAH3/3Yc=")</f>
        <v>#REF!</v>
      </c>
      <c r="EG26" s="34" t="e">
        <f>AND(#REF!,"AAAAAH3/3Yg=")</f>
        <v>#REF!</v>
      </c>
      <c r="EH26" s="34" t="e">
        <f>AND(#REF!,"AAAAAH3/3Yk=")</f>
        <v>#REF!</v>
      </c>
      <c r="EI26" s="34" t="e">
        <f>AND(#REF!,"AAAAAH3/3Yo=")</f>
        <v>#REF!</v>
      </c>
      <c r="EJ26" s="34" t="e">
        <f>AND(#REF!,"AAAAAH3/3Ys=")</f>
        <v>#REF!</v>
      </c>
      <c r="EK26" s="34" t="e">
        <f>AND(#REF!,"AAAAAH3/3Yw=")</f>
        <v>#REF!</v>
      </c>
      <c r="EL26" s="34" t="e">
        <f>AND(#REF!,"AAAAAH3/3Y0=")</f>
        <v>#REF!</v>
      </c>
      <c r="EM26" s="34" t="e">
        <f>AND(#REF!,"AAAAAH3/3Y4=")</f>
        <v>#REF!</v>
      </c>
      <c r="EN26" s="34" t="e">
        <f>AND(#REF!,"AAAAAH3/3Y8=")</f>
        <v>#REF!</v>
      </c>
      <c r="EO26" s="34" t="e">
        <f>AND(#REF!,"AAAAAH3/3ZA=")</f>
        <v>#REF!</v>
      </c>
      <c r="EP26" s="34" t="e">
        <f>AND(#REF!,"AAAAAH3/3ZE=")</f>
        <v>#REF!</v>
      </c>
      <c r="EQ26" s="34" t="e">
        <f>AND(#REF!,"AAAAAH3/3ZI=")</f>
        <v>#REF!</v>
      </c>
      <c r="ER26" s="34" t="e">
        <f>AND(#REF!,"AAAAAH3/3ZM=")</f>
        <v>#REF!</v>
      </c>
      <c r="ES26" s="34" t="e">
        <f>AND(#REF!,"AAAAAH3/3ZQ=")</f>
        <v>#REF!</v>
      </c>
      <c r="ET26" s="34" t="e">
        <f>AND(#REF!,"AAAAAH3/3ZU=")</f>
        <v>#REF!</v>
      </c>
      <c r="EU26" s="34" t="e">
        <f>AND(#REF!,"AAAAAH3/3ZY=")</f>
        <v>#REF!</v>
      </c>
      <c r="EV26" s="34" t="e">
        <f>AND(#REF!,"AAAAAH3/3Zc=")</f>
        <v>#REF!</v>
      </c>
      <c r="EW26" s="34" t="e">
        <f>AND(#REF!,"AAAAAH3/3Zg=")</f>
        <v>#REF!</v>
      </c>
      <c r="EX26" s="34" t="e">
        <f>AND(#REF!,"AAAAAH3/3Zk=")</f>
        <v>#REF!</v>
      </c>
      <c r="EY26" s="34" t="e">
        <f>AND(#REF!,"AAAAAH3/3Zo=")</f>
        <v>#REF!</v>
      </c>
      <c r="EZ26" s="34" t="e">
        <f>AND(#REF!,"AAAAAH3/3Zs=")</f>
        <v>#REF!</v>
      </c>
      <c r="FA26" s="34" t="e">
        <f>AND(#REF!,"AAAAAH3/3Zw=")</f>
        <v>#REF!</v>
      </c>
      <c r="FB26" s="34" t="e">
        <f>AND(#REF!,"AAAAAH3/3Z0=")</f>
        <v>#REF!</v>
      </c>
      <c r="FC26" s="34" t="e">
        <f>AND(#REF!,"AAAAAH3/3Z4=")</f>
        <v>#REF!</v>
      </c>
      <c r="FD26" s="34" t="e">
        <f>AND(#REF!,"AAAAAH3/3Z8=")</f>
        <v>#REF!</v>
      </c>
      <c r="FE26" s="34" t="e">
        <f>AND(#REF!,"AAAAAH3/3aA=")</f>
        <v>#REF!</v>
      </c>
      <c r="FF26" s="34" t="e">
        <f>AND(#REF!,"AAAAAH3/3aE=")</f>
        <v>#REF!</v>
      </c>
      <c r="FG26" s="34" t="e">
        <f>AND(#REF!,"AAAAAH3/3aI=")</f>
        <v>#REF!</v>
      </c>
      <c r="FH26" s="34" t="e">
        <f>AND(#REF!,"AAAAAH3/3aM=")</f>
        <v>#REF!</v>
      </c>
      <c r="FI26" s="34" t="e">
        <f>AND(#REF!,"AAAAAH3/3aQ=")</f>
        <v>#REF!</v>
      </c>
      <c r="FJ26" s="34" t="e">
        <f>AND(#REF!,"AAAAAH3/3aU=")</f>
        <v>#REF!</v>
      </c>
      <c r="FK26" s="34" t="e">
        <f>AND(#REF!,"AAAAAH3/3aY=")</f>
        <v>#REF!</v>
      </c>
      <c r="FL26" s="34" t="e">
        <f>AND(#REF!,"AAAAAH3/3ac=")</f>
        <v>#REF!</v>
      </c>
      <c r="FM26" s="34" t="e">
        <f>AND(#REF!,"AAAAAH3/3ag=")</f>
        <v>#REF!</v>
      </c>
      <c r="FN26" s="34" t="e">
        <f>AND(#REF!,"AAAAAH3/3ak=")</f>
        <v>#REF!</v>
      </c>
      <c r="FO26" s="34" t="e">
        <f>AND(#REF!,"AAAAAH3/3ao=")</f>
        <v>#REF!</v>
      </c>
      <c r="FP26" s="34" t="e">
        <f>AND(#REF!,"AAAAAH3/3as=")</f>
        <v>#REF!</v>
      </c>
      <c r="FQ26" s="34" t="e">
        <f>AND(#REF!,"AAAAAH3/3aw=")</f>
        <v>#REF!</v>
      </c>
      <c r="FR26" s="34" t="e">
        <f>AND(#REF!,"AAAAAH3/3a0=")</f>
        <v>#REF!</v>
      </c>
      <c r="FS26" s="34" t="e">
        <f>AND(#REF!,"AAAAAH3/3a4=")</f>
        <v>#REF!</v>
      </c>
      <c r="FT26" s="34" t="e">
        <f>AND(#REF!,"AAAAAH3/3a8=")</f>
        <v>#REF!</v>
      </c>
      <c r="FU26" s="34" t="e">
        <f>AND(#REF!,"AAAAAH3/3bA=")</f>
        <v>#REF!</v>
      </c>
      <c r="FV26" s="34" t="e">
        <f>AND(#REF!,"AAAAAH3/3bE=")</f>
        <v>#REF!</v>
      </c>
      <c r="FW26" s="34" t="e">
        <f>AND(#REF!,"AAAAAH3/3bI=")</f>
        <v>#REF!</v>
      </c>
      <c r="FX26" s="34" t="e">
        <f>AND(#REF!,"AAAAAH3/3bM=")</f>
        <v>#REF!</v>
      </c>
      <c r="FY26" s="34" t="e">
        <f>AND(#REF!,"AAAAAH3/3bQ=")</f>
        <v>#REF!</v>
      </c>
      <c r="FZ26" s="34" t="e">
        <f>AND(#REF!,"AAAAAH3/3bU=")</f>
        <v>#REF!</v>
      </c>
      <c r="GA26" s="34" t="e">
        <f>AND(#REF!,"AAAAAH3/3bY=")</f>
        <v>#REF!</v>
      </c>
      <c r="GB26" s="34" t="e">
        <f>AND(#REF!,"AAAAAH3/3bc=")</f>
        <v>#REF!</v>
      </c>
      <c r="GC26" s="34" t="e">
        <f>AND(#REF!,"AAAAAH3/3bg=")</f>
        <v>#REF!</v>
      </c>
      <c r="GD26" s="34" t="e">
        <f>AND(#REF!,"AAAAAH3/3bk=")</f>
        <v>#REF!</v>
      </c>
      <c r="GE26" s="34" t="e">
        <f>AND(#REF!,"AAAAAH3/3bo=")</f>
        <v>#REF!</v>
      </c>
      <c r="GF26" s="34" t="e">
        <f>AND(#REF!,"AAAAAH3/3bs=")</f>
        <v>#REF!</v>
      </c>
      <c r="GG26" s="34" t="e">
        <f>AND(#REF!,"AAAAAH3/3bw=")</f>
        <v>#REF!</v>
      </c>
      <c r="GH26" s="34" t="e">
        <f>AND(#REF!,"AAAAAH3/3b0=")</f>
        <v>#REF!</v>
      </c>
      <c r="GI26" s="34" t="e">
        <f>AND(#REF!,"AAAAAH3/3b4=")</f>
        <v>#REF!</v>
      </c>
      <c r="GJ26" s="34" t="e">
        <f>AND(#REF!,"AAAAAH3/3b8=")</f>
        <v>#REF!</v>
      </c>
      <c r="GK26" s="34" t="e">
        <f>AND(#REF!,"AAAAAH3/3cA=")</f>
        <v>#REF!</v>
      </c>
      <c r="GL26" s="34" t="e">
        <f>AND(#REF!,"AAAAAH3/3cE=")</f>
        <v>#REF!</v>
      </c>
      <c r="GM26" s="34" t="e">
        <f>AND(#REF!,"AAAAAH3/3cI=")</f>
        <v>#REF!</v>
      </c>
      <c r="GN26" s="34" t="e">
        <f>IF(#REF!,"AAAAAH3/3cM=",0)</f>
        <v>#REF!</v>
      </c>
      <c r="GO26" s="34" t="e">
        <f>AND(#REF!,"AAAAAH3/3cQ=")</f>
        <v>#REF!</v>
      </c>
      <c r="GP26" s="34" t="e">
        <f>AND(#REF!,"AAAAAH3/3cU=")</f>
        <v>#REF!</v>
      </c>
      <c r="GQ26" s="34" t="e">
        <f>AND(#REF!,"AAAAAH3/3cY=")</f>
        <v>#REF!</v>
      </c>
      <c r="GR26" s="34" t="e">
        <f>AND(#REF!,"AAAAAH3/3cc=")</f>
        <v>#REF!</v>
      </c>
      <c r="GS26" s="34" t="e">
        <f>AND(#REF!,"AAAAAH3/3cg=")</f>
        <v>#REF!</v>
      </c>
      <c r="GT26" s="34" t="e">
        <f>AND(#REF!,"AAAAAH3/3ck=")</f>
        <v>#REF!</v>
      </c>
      <c r="GU26" s="34" t="e">
        <f>AND(#REF!,"AAAAAH3/3co=")</f>
        <v>#REF!</v>
      </c>
      <c r="GV26" s="34" t="e">
        <f>AND(#REF!,"AAAAAH3/3cs=")</f>
        <v>#REF!</v>
      </c>
      <c r="GW26" s="34" t="e">
        <f>AND(#REF!,"AAAAAH3/3cw=")</f>
        <v>#REF!</v>
      </c>
      <c r="GX26" s="34" t="e">
        <f>AND(#REF!,"AAAAAH3/3c0=")</f>
        <v>#REF!</v>
      </c>
      <c r="GY26" s="34" t="e">
        <f>AND(#REF!,"AAAAAH3/3c4=")</f>
        <v>#REF!</v>
      </c>
      <c r="GZ26" s="34" t="e">
        <f>AND(#REF!,"AAAAAH3/3c8=")</f>
        <v>#REF!</v>
      </c>
      <c r="HA26" s="34" t="e">
        <f>AND(#REF!,"AAAAAH3/3dA=")</f>
        <v>#REF!</v>
      </c>
      <c r="HB26" s="34" t="e">
        <f>AND(#REF!,"AAAAAH3/3dE=")</f>
        <v>#REF!</v>
      </c>
      <c r="HC26" s="34" t="e">
        <f>AND(#REF!,"AAAAAH3/3dI=")</f>
        <v>#REF!</v>
      </c>
      <c r="HD26" s="34" t="e">
        <f>AND(#REF!,"AAAAAH3/3dM=")</f>
        <v>#REF!</v>
      </c>
      <c r="HE26" s="34" t="e">
        <f>AND(#REF!,"AAAAAH3/3dQ=")</f>
        <v>#REF!</v>
      </c>
      <c r="HF26" s="34" t="e">
        <f>AND(#REF!,"AAAAAH3/3dU=")</f>
        <v>#REF!</v>
      </c>
      <c r="HG26" s="34" t="e">
        <f>AND(#REF!,"AAAAAH3/3dY=")</f>
        <v>#REF!</v>
      </c>
      <c r="HH26" s="34" t="e">
        <f>AND(#REF!,"AAAAAH3/3dc=")</f>
        <v>#REF!</v>
      </c>
      <c r="HI26" s="34" t="e">
        <f>AND(#REF!,"AAAAAH3/3dg=")</f>
        <v>#REF!</v>
      </c>
      <c r="HJ26" s="34" t="e">
        <f>AND(#REF!,"AAAAAH3/3dk=")</f>
        <v>#REF!</v>
      </c>
      <c r="HK26" s="34" t="e">
        <f>AND(#REF!,"AAAAAH3/3do=")</f>
        <v>#REF!</v>
      </c>
      <c r="HL26" s="34" t="e">
        <f>AND(#REF!,"AAAAAH3/3ds=")</f>
        <v>#REF!</v>
      </c>
      <c r="HM26" s="34" t="e">
        <f>AND(#REF!,"AAAAAH3/3dw=")</f>
        <v>#REF!</v>
      </c>
      <c r="HN26" s="34" t="e">
        <f>AND(#REF!,"AAAAAH3/3d0=")</f>
        <v>#REF!</v>
      </c>
      <c r="HO26" s="34" t="e">
        <f>AND(#REF!,"AAAAAH3/3d4=")</f>
        <v>#REF!</v>
      </c>
      <c r="HP26" s="34" t="e">
        <f>AND(#REF!,"AAAAAH3/3d8=")</f>
        <v>#REF!</v>
      </c>
      <c r="HQ26" s="34" t="e">
        <f>AND(#REF!,"AAAAAH3/3eA=")</f>
        <v>#REF!</v>
      </c>
      <c r="HR26" s="34" t="e">
        <f>AND(#REF!,"AAAAAH3/3eE=")</f>
        <v>#REF!</v>
      </c>
      <c r="HS26" s="34" t="e">
        <f>AND(#REF!,"AAAAAH3/3eI=")</f>
        <v>#REF!</v>
      </c>
      <c r="HT26" s="34" t="e">
        <f>AND(#REF!,"AAAAAH3/3eM=")</f>
        <v>#REF!</v>
      </c>
      <c r="HU26" s="34" t="e">
        <f>AND(#REF!,"AAAAAH3/3eQ=")</f>
        <v>#REF!</v>
      </c>
      <c r="HV26" s="34" t="e">
        <f>AND(#REF!,"AAAAAH3/3eU=")</f>
        <v>#REF!</v>
      </c>
      <c r="HW26" s="34" t="e">
        <f>AND(#REF!,"AAAAAH3/3eY=")</f>
        <v>#REF!</v>
      </c>
      <c r="HX26" s="34" t="e">
        <f>AND(#REF!,"AAAAAH3/3ec=")</f>
        <v>#REF!</v>
      </c>
      <c r="HY26" s="34" t="e">
        <f>AND(#REF!,"AAAAAH3/3eg=")</f>
        <v>#REF!</v>
      </c>
      <c r="HZ26" s="34" t="e">
        <f>AND(#REF!,"AAAAAH3/3ek=")</f>
        <v>#REF!</v>
      </c>
      <c r="IA26" s="34" t="e">
        <f>AND(#REF!,"AAAAAH3/3eo=")</f>
        <v>#REF!</v>
      </c>
      <c r="IB26" s="34" t="e">
        <f>AND(#REF!,"AAAAAH3/3es=")</f>
        <v>#REF!</v>
      </c>
      <c r="IC26" s="34" t="e">
        <f>AND(#REF!,"AAAAAH3/3ew=")</f>
        <v>#REF!</v>
      </c>
      <c r="ID26" s="34" t="e">
        <f>AND(#REF!,"AAAAAH3/3e0=")</f>
        <v>#REF!</v>
      </c>
      <c r="IE26" s="34" t="e">
        <f>AND(#REF!,"AAAAAH3/3e4=")</f>
        <v>#REF!</v>
      </c>
      <c r="IF26" s="34" t="e">
        <f>AND(#REF!,"AAAAAH3/3e8=")</f>
        <v>#REF!</v>
      </c>
      <c r="IG26" s="34" t="e">
        <f>AND(#REF!,"AAAAAH3/3fA=")</f>
        <v>#REF!</v>
      </c>
      <c r="IH26" s="34" t="e">
        <f>AND(#REF!,"AAAAAH3/3fE=")</f>
        <v>#REF!</v>
      </c>
      <c r="II26" s="34" t="e">
        <f>AND(#REF!,"AAAAAH3/3fI=")</f>
        <v>#REF!</v>
      </c>
      <c r="IJ26" s="34" t="e">
        <f>AND(#REF!,"AAAAAH3/3fM=")</f>
        <v>#REF!</v>
      </c>
      <c r="IK26" s="34" t="e">
        <f>AND(#REF!,"AAAAAH3/3fQ=")</f>
        <v>#REF!</v>
      </c>
      <c r="IL26" s="34" t="e">
        <f>AND(#REF!,"AAAAAH3/3fU=")</f>
        <v>#REF!</v>
      </c>
      <c r="IM26" s="34" t="e">
        <f>AND(#REF!,"AAAAAH3/3fY=")</f>
        <v>#REF!</v>
      </c>
      <c r="IN26" s="34" t="e">
        <f>AND(#REF!,"AAAAAH3/3fc=")</f>
        <v>#REF!</v>
      </c>
      <c r="IO26" s="34" t="e">
        <f>AND(#REF!,"AAAAAH3/3fg=")</f>
        <v>#REF!</v>
      </c>
      <c r="IP26" s="34" t="e">
        <f>AND(#REF!,"AAAAAH3/3fk=")</f>
        <v>#REF!</v>
      </c>
      <c r="IQ26" s="34" t="e">
        <f>AND(#REF!,"AAAAAH3/3fo=")</f>
        <v>#REF!</v>
      </c>
      <c r="IR26" s="34" t="e">
        <f>AND(#REF!,"AAAAAH3/3fs=")</f>
        <v>#REF!</v>
      </c>
      <c r="IS26" s="34" t="e">
        <f>AND(#REF!,"AAAAAH3/3fw=")</f>
        <v>#REF!</v>
      </c>
      <c r="IT26" s="34" t="e">
        <f>AND(#REF!,"AAAAAH3/3f0=")</f>
        <v>#REF!</v>
      </c>
      <c r="IU26" s="34" t="e">
        <f>AND(#REF!,"AAAAAH3/3f4=")</f>
        <v>#REF!</v>
      </c>
      <c r="IV26" s="34" t="e">
        <f>AND(#REF!,"AAAAAH3/3f8=")</f>
        <v>#REF!</v>
      </c>
    </row>
    <row r="27" spans="1:256" ht="12.75" customHeight="1" x14ac:dyDescent="0.2">
      <c r="A27" s="34" t="e">
        <f>AND(#REF!,"AAAAAHf//wA=")</f>
        <v>#REF!</v>
      </c>
      <c r="B27" s="34" t="e">
        <f>AND(#REF!,"AAAAAHf//wE=")</f>
        <v>#REF!</v>
      </c>
      <c r="C27" s="34" t="e">
        <f>AND(#REF!,"AAAAAHf//wI=")</f>
        <v>#REF!</v>
      </c>
      <c r="D27" s="34" t="e">
        <f>AND(#REF!,"AAAAAHf//wM=")</f>
        <v>#REF!</v>
      </c>
      <c r="E27" s="34" t="e">
        <f>AND(#REF!,"AAAAAHf//wQ=")</f>
        <v>#REF!</v>
      </c>
      <c r="F27" s="34" t="e">
        <f>AND(#REF!,"AAAAAHf//wU=")</f>
        <v>#REF!</v>
      </c>
      <c r="G27" s="34" t="e">
        <f>AND(#REF!,"AAAAAHf//wY=")</f>
        <v>#REF!</v>
      </c>
      <c r="H27" s="34" t="e">
        <f>AND(#REF!,"AAAAAHf//wc=")</f>
        <v>#REF!</v>
      </c>
      <c r="I27" s="34" t="e">
        <f>AND(#REF!,"AAAAAHf//wg=")</f>
        <v>#REF!</v>
      </c>
      <c r="J27" s="34" t="e">
        <f>AND(#REF!,"AAAAAHf//wk=")</f>
        <v>#REF!</v>
      </c>
      <c r="K27" s="34" t="e">
        <f>AND(#REF!,"AAAAAHf//wo=")</f>
        <v>#REF!</v>
      </c>
      <c r="L27" s="34" t="e">
        <f>AND(#REF!,"AAAAAHf//ws=")</f>
        <v>#REF!</v>
      </c>
      <c r="M27" s="34" t="e">
        <f>IF(#REF!,"AAAAAHf//ww=",0)</f>
        <v>#REF!</v>
      </c>
      <c r="N27" s="34" t="e">
        <f>AND(#REF!,"AAAAAHf//w0=")</f>
        <v>#REF!</v>
      </c>
      <c r="O27" s="34" t="e">
        <f>AND(#REF!,"AAAAAHf//w4=")</f>
        <v>#REF!</v>
      </c>
      <c r="P27" s="34" t="e">
        <f>AND(#REF!,"AAAAAHf//w8=")</f>
        <v>#REF!</v>
      </c>
      <c r="Q27" s="34" t="e">
        <f>AND(#REF!,"AAAAAHf//xA=")</f>
        <v>#REF!</v>
      </c>
      <c r="R27" s="34" t="e">
        <f>AND(#REF!,"AAAAAHf//xE=")</f>
        <v>#REF!</v>
      </c>
      <c r="S27" s="34" t="e">
        <f>AND(#REF!,"AAAAAHf//xI=")</f>
        <v>#REF!</v>
      </c>
      <c r="T27" s="34" t="e">
        <f>AND(#REF!,"AAAAAHf//xM=")</f>
        <v>#REF!</v>
      </c>
      <c r="U27" s="34" t="e">
        <f>AND(#REF!,"AAAAAHf//xQ=")</f>
        <v>#REF!</v>
      </c>
      <c r="V27" s="34" t="e">
        <f>AND(#REF!,"AAAAAHf//xU=")</f>
        <v>#REF!</v>
      </c>
      <c r="W27" s="34" t="e">
        <f>AND(#REF!,"AAAAAHf//xY=")</f>
        <v>#REF!</v>
      </c>
      <c r="X27" s="34" t="e">
        <f>AND(#REF!,"AAAAAHf//xc=")</f>
        <v>#REF!</v>
      </c>
      <c r="Y27" s="34" t="e">
        <f>AND(#REF!,"AAAAAHf//xg=")</f>
        <v>#REF!</v>
      </c>
      <c r="Z27" s="34" t="e">
        <f>AND(#REF!,"AAAAAHf//xk=")</f>
        <v>#REF!</v>
      </c>
      <c r="AA27" s="34" t="e">
        <f>AND(#REF!,"AAAAAHf//xo=")</f>
        <v>#REF!</v>
      </c>
      <c r="AB27" s="34" t="e">
        <f>AND(#REF!,"AAAAAHf//xs=")</f>
        <v>#REF!</v>
      </c>
      <c r="AC27" s="34" t="e">
        <f>AND(#REF!,"AAAAAHf//xw=")</f>
        <v>#REF!</v>
      </c>
      <c r="AD27" s="34" t="e">
        <f>AND(#REF!,"AAAAAHf//x0=")</f>
        <v>#REF!</v>
      </c>
      <c r="AE27" s="34" t="e">
        <f>AND(#REF!,"AAAAAHf//x4=")</f>
        <v>#REF!</v>
      </c>
      <c r="AF27" s="34" t="e">
        <f>AND(#REF!,"AAAAAHf//x8=")</f>
        <v>#REF!</v>
      </c>
      <c r="AG27" s="34" t="e">
        <f>AND(#REF!,"AAAAAHf//yA=")</f>
        <v>#REF!</v>
      </c>
      <c r="AH27" s="34" t="e">
        <f>AND(#REF!,"AAAAAHf//yE=")</f>
        <v>#REF!</v>
      </c>
      <c r="AI27" s="34" t="e">
        <f>AND(#REF!,"AAAAAHf//yI=")</f>
        <v>#REF!</v>
      </c>
      <c r="AJ27" s="34" t="e">
        <f>AND(#REF!,"AAAAAHf//yM=")</f>
        <v>#REF!</v>
      </c>
      <c r="AK27" s="34" t="e">
        <f>AND(#REF!,"AAAAAHf//yQ=")</f>
        <v>#REF!</v>
      </c>
      <c r="AL27" s="34" t="e">
        <f>AND(#REF!,"AAAAAHf//yU=")</f>
        <v>#REF!</v>
      </c>
      <c r="AM27" s="34" t="e">
        <f>AND(#REF!,"AAAAAHf//yY=")</f>
        <v>#REF!</v>
      </c>
      <c r="AN27" s="34" t="e">
        <f>AND(#REF!,"AAAAAHf//yc=")</f>
        <v>#REF!</v>
      </c>
      <c r="AO27" s="34" t="e">
        <f>AND(#REF!,"AAAAAHf//yg=")</f>
        <v>#REF!</v>
      </c>
      <c r="AP27" s="34" t="e">
        <f>AND(#REF!,"AAAAAHf//yk=")</f>
        <v>#REF!</v>
      </c>
      <c r="AQ27" s="34" t="e">
        <f>AND(#REF!,"AAAAAHf//yo=")</f>
        <v>#REF!</v>
      </c>
      <c r="AR27" s="34" t="e">
        <f>AND(#REF!,"AAAAAHf//ys=")</f>
        <v>#REF!</v>
      </c>
      <c r="AS27" s="34" t="e">
        <f>AND(#REF!,"AAAAAHf//yw=")</f>
        <v>#REF!</v>
      </c>
      <c r="AT27" s="34" t="e">
        <f>AND(#REF!,"AAAAAHf//y0=")</f>
        <v>#REF!</v>
      </c>
      <c r="AU27" s="34" t="e">
        <f>AND(#REF!,"AAAAAHf//y4=")</f>
        <v>#REF!</v>
      </c>
      <c r="AV27" s="34" t="e">
        <f>AND(#REF!,"AAAAAHf//y8=")</f>
        <v>#REF!</v>
      </c>
      <c r="AW27" s="34" t="e">
        <f>AND(#REF!,"AAAAAHf//zA=")</f>
        <v>#REF!</v>
      </c>
      <c r="AX27" s="34" t="e">
        <f>AND(#REF!,"AAAAAHf//zE=")</f>
        <v>#REF!</v>
      </c>
      <c r="AY27" s="34" t="e">
        <f>AND(#REF!,"AAAAAHf//zI=")</f>
        <v>#REF!</v>
      </c>
      <c r="AZ27" s="34" t="e">
        <f>AND(#REF!,"AAAAAHf//zM=")</f>
        <v>#REF!</v>
      </c>
      <c r="BA27" s="34" t="e">
        <f>AND(#REF!,"AAAAAHf//zQ=")</f>
        <v>#REF!</v>
      </c>
      <c r="BB27" s="34" t="e">
        <f>AND(#REF!,"AAAAAHf//zU=")</f>
        <v>#REF!</v>
      </c>
      <c r="BC27" s="34" t="e">
        <f>AND(#REF!,"AAAAAHf//zY=")</f>
        <v>#REF!</v>
      </c>
      <c r="BD27" s="34" t="e">
        <f>AND(#REF!,"AAAAAHf//zc=")</f>
        <v>#REF!</v>
      </c>
      <c r="BE27" s="34" t="e">
        <f>AND(#REF!,"AAAAAHf//zg=")</f>
        <v>#REF!</v>
      </c>
      <c r="BF27" s="34" t="e">
        <f>AND(#REF!,"AAAAAHf//zk=")</f>
        <v>#REF!</v>
      </c>
      <c r="BG27" s="34" t="e">
        <f>AND(#REF!,"AAAAAHf//zo=")</f>
        <v>#REF!</v>
      </c>
      <c r="BH27" s="34" t="e">
        <f>AND(#REF!,"AAAAAHf//zs=")</f>
        <v>#REF!</v>
      </c>
      <c r="BI27" s="34" t="e">
        <f>AND(#REF!,"AAAAAHf//zw=")</f>
        <v>#REF!</v>
      </c>
      <c r="BJ27" s="34" t="e">
        <f>AND(#REF!,"AAAAAHf//z0=")</f>
        <v>#REF!</v>
      </c>
      <c r="BK27" s="34" t="e">
        <f>AND(#REF!,"AAAAAHf//z4=")</f>
        <v>#REF!</v>
      </c>
      <c r="BL27" s="34" t="e">
        <f>AND(#REF!,"AAAAAHf//z8=")</f>
        <v>#REF!</v>
      </c>
      <c r="BM27" s="34" t="e">
        <f>AND(#REF!,"AAAAAHf//0A=")</f>
        <v>#REF!</v>
      </c>
      <c r="BN27" s="34" t="e">
        <f>AND(#REF!,"AAAAAHf//0E=")</f>
        <v>#REF!</v>
      </c>
      <c r="BO27" s="34" t="e">
        <f>AND(#REF!,"AAAAAHf//0I=")</f>
        <v>#REF!</v>
      </c>
      <c r="BP27" s="34" t="e">
        <f>AND(#REF!,"AAAAAHf//0M=")</f>
        <v>#REF!</v>
      </c>
      <c r="BQ27" s="34" t="e">
        <f>AND(#REF!,"AAAAAHf//0Q=")</f>
        <v>#REF!</v>
      </c>
      <c r="BR27" s="34" t="e">
        <f>AND(#REF!,"AAAAAHf//0U=")</f>
        <v>#REF!</v>
      </c>
      <c r="BS27" s="34" t="e">
        <f>AND(#REF!,"AAAAAHf//0Y=")</f>
        <v>#REF!</v>
      </c>
      <c r="BT27" s="34" t="e">
        <f>AND(#REF!,"AAAAAHf//0c=")</f>
        <v>#REF!</v>
      </c>
      <c r="BU27" s="34" t="e">
        <f>AND(#REF!,"AAAAAHf//0g=")</f>
        <v>#REF!</v>
      </c>
      <c r="BV27" s="34" t="e">
        <f>AND(#REF!,"AAAAAHf//0k=")</f>
        <v>#REF!</v>
      </c>
      <c r="BW27" s="34" t="e">
        <f>AND(#REF!,"AAAAAHf//0o=")</f>
        <v>#REF!</v>
      </c>
      <c r="BX27" s="34" t="e">
        <f>AND(#REF!,"AAAAAHf//0s=")</f>
        <v>#REF!</v>
      </c>
      <c r="BY27" s="34" t="e">
        <f>AND(#REF!,"AAAAAHf//0w=")</f>
        <v>#REF!</v>
      </c>
      <c r="BZ27" s="34" t="e">
        <f>AND(#REF!,"AAAAAHf//00=")</f>
        <v>#REF!</v>
      </c>
      <c r="CA27" s="34" t="e">
        <f>AND(#REF!,"AAAAAHf//04=")</f>
        <v>#REF!</v>
      </c>
      <c r="CB27" s="34" t="e">
        <f>AND(#REF!,"AAAAAHf//08=")</f>
        <v>#REF!</v>
      </c>
      <c r="CC27" s="34" t="e">
        <f>AND(#REF!,"AAAAAHf//1A=")</f>
        <v>#REF!</v>
      </c>
      <c r="CD27" s="34" t="e">
        <f>AND(#REF!,"AAAAAHf//1E=")</f>
        <v>#REF!</v>
      </c>
      <c r="CE27" s="34" t="e">
        <f>AND(#REF!,"AAAAAHf//1I=")</f>
        <v>#REF!</v>
      </c>
      <c r="CF27" s="34" t="e">
        <f>AND(#REF!,"AAAAAHf//1M=")</f>
        <v>#REF!</v>
      </c>
      <c r="CG27" s="34" t="e">
        <f>AND(#REF!,"AAAAAHf//1Q=")</f>
        <v>#REF!</v>
      </c>
      <c r="CH27" s="34" t="e">
        <f>IF(#REF!,"AAAAAHf//1U=",0)</f>
        <v>#REF!</v>
      </c>
      <c r="CI27" s="34" t="e">
        <f>AND(#REF!,"AAAAAHf//1Y=")</f>
        <v>#REF!</v>
      </c>
      <c r="CJ27" s="34" t="e">
        <f>AND(#REF!,"AAAAAHf//1c=")</f>
        <v>#REF!</v>
      </c>
      <c r="CK27" s="34" t="e">
        <f>AND(#REF!,"AAAAAHf//1g=")</f>
        <v>#REF!</v>
      </c>
      <c r="CL27" s="34" t="e">
        <f>AND(#REF!,"AAAAAHf//1k=")</f>
        <v>#REF!</v>
      </c>
      <c r="CM27" s="34" t="e">
        <f>AND(#REF!,"AAAAAHf//1o=")</f>
        <v>#REF!</v>
      </c>
      <c r="CN27" s="34" t="e">
        <f>AND(#REF!,"AAAAAHf//1s=")</f>
        <v>#REF!</v>
      </c>
      <c r="CO27" s="34" t="e">
        <f>AND(#REF!,"AAAAAHf//1w=")</f>
        <v>#REF!</v>
      </c>
      <c r="CP27" s="34" t="e">
        <f>AND(#REF!,"AAAAAHf//10=")</f>
        <v>#REF!</v>
      </c>
      <c r="CQ27" s="34" t="e">
        <f>AND(#REF!,"AAAAAHf//14=")</f>
        <v>#REF!</v>
      </c>
      <c r="CR27" s="34" t="e">
        <f>AND(#REF!,"AAAAAHf//18=")</f>
        <v>#REF!</v>
      </c>
      <c r="CS27" s="34" t="e">
        <f>AND(#REF!,"AAAAAHf//2A=")</f>
        <v>#REF!</v>
      </c>
      <c r="CT27" s="34" t="e">
        <f>AND(#REF!,"AAAAAHf//2E=")</f>
        <v>#REF!</v>
      </c>
      <c r="CU27" s="34" t="e">
        <f>AND(#REF!,"AAAAAHf//2I=")</f>
        <v>#REF!</v>
      </c>
      <c r="CV27" s="34" t="e">
        <f>AND(#REF!,"AAAAAHf//2M=")</f>
        <v>#REF!</v>
      </c>
      <c r="CW27" s="34" t="e">
        <f>AND(#REF!,"AAAAAHf//2Q=")</f>
        <v>#REF!</v>
      </c>
      <c r="CX27" s="34" t="e">
        <f>AND(#REF!,"AAAAAHf//2U=")</f>
        <v>#REF!</v>
      </c>
      <c r="CY27" s="34" t="e">
        <f>AND(#REF!,"AAAAAHf//2Y=")</f>
        <v>#REF!</v>
      </c>
      <c r="CZ27" s="34" t="e">
        <f>AND(#REF!,"AAAAAHf//2c=")</f>
        <v>#REF!</v>
      </c>
      <c r="DA27" s="34" t="e">
        <f>AND(#REF!,"AAAAAHf//2g=")</f>
        <v>#REF!</v>
      </c>
      <c r="DB27" s="34" t="e">
        <f>AND(#REF!,"AAAAAHf//2k=")</f>
        <v>#REF!</v>
      </c>
      <c r="DC27" s="34" t="e">
        <f>AND(#REF!,"AAAAAHf//2o=")</f>
        <v>#REF!</v>
      </c>
      <c r="DD27" s="34" t="e">
        <f>AND(#REF!,"AAAAAHf//2s=")</f>
        <v>#REF!</v>
      </c>
      <c r="DE27" s="34" t="e">
        <f>AND(#REF!,"AAAAAHf//2w=")</f>
        <v>#REF!</v>
      </c>
      <c r="DF27" s="34" t="e">
        <f>AND(#REF!,"AAAAAHf//20=")</f>
        <v>#REF!</v>
      </c>
      <c r="DG27" s="34" t="e">
        <f>AND(#REF!,"AAAAAHf//24=")</f>
        <v>#REF!</v>
      </c>
      <c r="DH27" s="34" t="e">
        <f>AND(#REF!,"AAAAAHf//28=")</f>
        <v>#REF!</v>
      </c>
      <c r="DI27" s="34" t="e">
        <f>AND(#REF!,"AAAAAHf//3A=")</f>
        <v>#REF!</v>
      </c>
      <c r="DJ27" s="34" t="e">
        <f>AND(#REF!,"AAAAAHf//3E=")</f>
        <v>#REF!</v>
      </c>
      <c r="DK27" s="34" t="e">
        <f>AND(#REF!,"AAAAAHf//3I=")</f>
        <v>#REF!</v>
      </c>
      <c r="DL27" s="34" t="e">
        <f>AND(#REF!,"AAAAAHf//3M=")</f>
        <v>#REF!</v>
      </c>
      <c r="DM27" s="34" t="e">
        <f>AND(#REF!,"AAAAAHf//3Q=")</f>
        <v>#REF!</v>
      </c>
      <c r="DN27" s="34" t="e">
        <f>AND(#REF!,"AAAAAHf//3U=")</f>
        <v>#REF!</v>
      </c>
      <c r="DO27" s="34" t="e">
        <f>AND(#REF!,"AAAAAHf//3Y=")</f>
        <v>#REF!</v>
      </c>
      <c r="DP27" s="34" t="e">
        <f>AND(#REF!,"AAAAAHf//3c=")</f>
        <v>#REF!</v>
      </c>
      <c r="DQ27" s="34" t="e">
        <f>AND(#REF!,"AAAAAHf//3g=")</f>
        <v>#REF!</v>
      </c>
      <c r="DR27" s="34" t="e">
        <f>AND(#REF!,"AAAAAHf//3k=")</f>
        <v>#REF!</v>
      </c>
      <c r="DS27" s="34" t="e">
        <f>AND(#REF!,"AAAAAHf//3o=")</f>
        <v>#REF!</v>
      </c>
      <c r="DT27" s="34" t="e">
        <f>AND(#REF!,"AAAAAHf//3s=")</f>
        <v>#REF!</v>
      </c>
      <c r="DU27" s="34" t="e">
        <f>AND(#REF!,"AAAAAHf//3w=")</f>
        <v>#REF!</v>
      </c>
      <c r="DV27" s="34" t="e">
        <f>AND(#REF!,"AAAAAHf//30=")</f>
        <v>#REF!</v>
      </c>
      <c r="DW27" s="34" t="e">
        <f>AND(#REF!,"AAAAAHf//34=")</f>
        <v>#REF!</v>
      </c>
      <c r="DX27" s="34" t="e">
        <f>AND(#REF!,"AAAAAHf//38=")</f>
        <v>#REF!</v>
      </c>
      <c r="DY27" s="34" t="e">
        <f>AND(#REF!,"AAAAAHf//4A=")</f>
        <v>#REF!</v>
      </c>
      <c r="DZ27" s="34" t="e">
        <f>AND(#REF!,"AAAAAHf//4E=")</f>
        <v>#REF!</v>
      </c>
      <c r="EA27" s="34" t="e">
        <f>AND(#REF!,"AAAAAHf//4I=")</f>
        <v>#REF!</v>
      </c>
      <c r="EB27" s="34" t="e">
        <f>AND(#REF!,"AAAAAHf//4M=")</f>
        <v>#REF!</v>
      </c>
      <c r="EC27" s="34" t="e">
        <f>AND(#REF!,"AAAAAHf//4Q=")</f>
        <v>#REF!</v>
      </c>
      <c r="ED27" s="34" t="e">
        <f>AND(#REF!,"AAAAAHf//4U=")</f>
        <v>#REF!</v>
      </c>
      <c r="EE27" s="34" t="e">
        <f>AND(#REF!,"AAAAAHf//4Y=")</f>
        <v>#REF!</v>
      </c>
      <c r="EF27" s="34" t="e">
        <f>AND(#REF!,"AAAAAHf//4c=")</f>
        <v>#REF!</v>
      </c>
      <c r="EG27" s="34" t="e">
        <f>AND(#REF!,"AAAAAHf//4g=")</f>
        <v>#REF!</v>
      </c>
      <c r="EH27" s="34" t="e">
        <f>AND(#REF!,"AAAAAHf//4k=")</f>
        <v>#REF!</v>
      </c>
      <c r="EI27" s="34" t="e">
        <f>AND(#REF!,"AAAAAHf//4o=")</f>
        <v>#REF!</v>
      </c>
      <c r="EJ27" s="34" t="e">
        <f>AND(#REF!,"AAAAAHf//4s=")</f>
        <v>#REF!</v>
      </c>
      <c r="EK27" s="34" t="e">
        <f>AND(#REF!,"AAAAAHf//4w=")</f>
        <v>#REF!</v>
      </c>
      <c r="EL27" s="34" t="e">
        <f>AND(#REF!,"AAAAAHf//40=")</f>
        <v>#REF!</v>
      </c>
      <c r="EM27" s="34" t="e">
        <f>AND(#REF!,"AAAAAHf//44=")</f>
        <v>#REF!</v>
      </c>
      <c r="EN27" s="34" t="e">
        <f>AND(#REF!,"AAAAAHf//48=")</f>
        <v>#REF!</v>
      </c>
      <c r="EO27" s="34" t="e">
        <f>AND(#REF!,"AAAAAHf//5A=")</f>
        <v>#REF!</v>
      </c>
      <c r="EP27" s="34" t="e">
        <f>AND(#REF!,"AAAAAHf//5E=")</f>
        <v>#REF!</v>
      </c>
      <c r="EQ27" s="34" t="e">
        <f>AND(#REF!,"AAAAAHf//5I=")</f>
        <v>#REF!</v>
      </c>
      <c r="ER27" s="34" t="e">
        <f>AND(#REF!,"AAAAAHf//5M=")</f>
        <v>#REF!</v>
      </c>
      <c r="ES27" s="34" t="e">
        <f>AND(#REF!,"AAAAAHf//5Q=")</f>
        <v>#REF!</v>
      </c>
      <c r="ET27" s="34" t="e">
        <f>AND(#REF!,"AAAAAHf//5U=")</f>
        <v>#REF!</v>
      </c>
      <c r="EU27" s="34" t="e">
        <f>AND(#REF!,"AAAAAHf//5Y=")</f>
        <v>#REF!</v>
      </c>
      <c r="EV27" s="34" t="e">
        <f>AND(#REF!,"AAAAAHf//5c=")</f>
        <v>#REF!</v>
      </c>
      <c r="EW27" s="34" t="e">
        <f>AND(#REF!,"AAAAAHf//5g=")</f>
        <v>#REF!</v>
      </c>
      <c r="EX27" s="34" t="e">
        <f>AND(#REF!,"AAAAAHf//5k=")</f>
        <v>#REF!</v>
      </c>
      <c r="EY27" s="34" t="e">
        <f>AND(#REF!,"AAAAAHf//5o=")</f>
        <v>#REF!</v>
      </c>
      <c r="EZ27" s="34" t="e">
        <f>AND(#REF!,"AAAAAHf//5s=")</f>
        <v>#REF!</v>
      </c>
      <c r="FA27" s="34" t="e">
        <f>AND(#REF!,"AAAAAHf//5w=")</f>
        <v>#REF!</v>
      </c>
      <c r="FB27" s="34" t="e">
        <f>AND(#REF!,"AAAAAHf//50=")</f>
        <v>#REF!</v>
      </c>
      <c r="FC27" s="34" t="e">
        <f>IF(#REF!,"AAAAAHf//54=",0)</f>
        <v>#REF!</v>
      </c>
      <c r="FD27" s="34" t="e">
        <f>AND(#REF!,"AAAAAHf//58=")</f>
        <v>#REF!</v>
      </c>
      <c r="FE27" s="34" t="e">
        <f>AND(#REF!,"AAAAAHf//6A=")</f>
        <v>#REF!</v>
      </c>
      <c r="FF27" s="34" t="e">
        <f>AND(#REF!,"AAAAAHf//6E=")</f>
        <v>#REF!</v>
      </c>
      <c r="FG27" s="34" t="e">
        <f>AND(#REF!,"AAAAAHf//6I=")</f>
        <v>#REF!</v>
      </c>
      <c r="FH27" s="34" t="e">
        <f>AND(#REF!,"AAAAAHf//6M=")</f>
        <v>#REF!</v>
      </c>
      <c r="FI27" s="34" t="e">
        <f>AND(#REF!,"AAAAAHf//6Q=")</f>
        <v>#REF!</v>
      </c>
      <c r="FJ27" s="34" t="e">
        <f>AND(#REF!,"AAAAAHf//6U=")</f>
        <v>#REF!</v>
      </c>
      <c r="FK27" s="34" t="e">
        <f>AND(#REF!,"AAAAAHf//6Y=")</f>
        <v>#REF!</v>
      </c>
      <c r="FL27" s="34" t="e">
        <f>AND(#REF!,"AAAAAHf//6c=")</f>
        <v>#REF!</v>
      </c>
      <c r="FM27" s="34" t="e">
        <f>AND(#REF!,"AAAAAHf//6g=")</f>
        <v>#REF!</v>
      </c>
      <c r="FN27" s="34" t="e">
        <f>AND(#REF!,"AAAAAHf//6k=")</f>
        <v>#REF!</v>
      </c>
      <c r="FO27" s="34" t="e">
        <f>AND(#REF!,"AAAAAHf//6o=")</f>
        <v>#REF!</v>
      </c>
      <c r="FP27" s="34" t="e">
        <f>AND(#REF!,"AAAAAHf//6s=")</f>
        <v>#REF!</v>
      </c>
      <c r="FQ27" s="34" t="e">
        <f>AND(#REF!,"AAAAAHf//6w=")</f>
        <v>#REF!</v>
      </c>
      <c r="FR27" s="34" t="e">
        <f>AND(#REF!,"AAAAAHf//60=")</f>
        <v>#REF!</v>
      </c>
      <c r="FS27" s="34" t="e">
        <f>AND(#REF!,"AAAAAHf//64=")</f>
        <v>#REF!</v>
      </c>
      <c r="FT27" s="34" t="e">
        <f>AND(#REF!,"AAAAAHf//68=")</f>
        <v>#REF!</v>
      </c>
      <c r="FU27" s="34" t="e">
        <f>AND(#REF!,"AAAAAHf//7A=")</f>
        <v>#REF!</v>
      </c>
      <c r="FV27" s="34" t="e">
        <f>AND(#REF!,"AAAAAHf//7E=")</f>
        <v>#REF!</v>
      </c>
      <c r="FW27" s="34" t="e">
        <f>AND(#REF!,"AAAAAHf//7I=")</f>
        <v>#REF!</v>
      </c>
      <c r="FX27" s="34" t="e">
        <f>AND(#REF!,"AAAAAHf//7M=")</f>
        <v>#REF!</v>
      </c>
      <c r="FY27" s="34" t="e">
        <f>AND(#REF!,"AAAAAHf//7Q=")</f>
        <v>#REF!</v>
      </c>
      <c r="FZ27" s="34" t="e">
        <f>AND(#REF!,"AAAAAHf//7U=")</f>
        <v>#REF!</v>
      </c>
      <c r="GA27" s="34" t="e">
        <f>AND(#REF!,"AAAAAHf//7Y=")</f>
        <v>#REF!</v>
      </c>
      <c r="GB27" s="34" t="e">
        <f>AND(#REF!,"AAAAAHf//7c=")</f>
        <v>#REF!</v>
      </c>
      <c r="GC27" s="34" t="e">
        <f>AND(#REF!,"AAAAAHf//7g=")</f>
        <v>#REF!</v>
      </c>
      <c r="GD27" s="34" t="e">
        <f>AND(#REF!,"AAAAAHf//7k=")</f>
        <v>#REF!</v>
      </c>
      <c r="GE27" s="34" t="e">
        <f>AND(#REF!,"AAAAAHf//7o=")</f>
        <v>#REF!</v>
      </c>
      <c r="GF27" s="34" t="e">
        <f>AND(#REF!,"AAAAAHf//7s=")</f>
        <v>#REF!</v>
      </c>
      <c r="GG27" s="34" t="e">
        <f>AND(#REF!,"AAAAAHf//7w=")</f>
        <v>#REF!</v>
      </c>
      <c r="GH27" s="34" t="e">
        <f>AND(#REF!,"AAAAAHf//70=")</f>
        <v>#REF!</v>
      </c>
      <c r="GI27" s="34" t="e">
        <f>AND(#REF!,"AAAAAHf//74=")</f>
        <v>#REF!</v>
      </c>
      <c r="GJ27" s="34" t="e">
        <f>AND(#REF!,"AAAAAHf//78=")</f>
        <v>#REF!</v>
      </c>
      <c r="GK27" s="34" t="e">
        <f>AND(#REF!,"AAAAAHf//8A=")</f>
        <v>#REF!</v>
      </c>
      <c r="GL27" s="34" t="e">
        <f>AND(#REF!,"AAAAAHf//8E=")</f>
        <v>#REF!</v>
      </c>
      <c r="GM27" s="34" t="e">
        <f>AND(#REF!,"AAAAAHf//8I=")</f>
        <v>#REF!</v>
      </c>
      <c r="GN27" s="34" t="e">
        <f>AND(#REF!,"AAAAAHf//8M=")</f>
        <v>#REF!</v>
      </c>
      <c r="GO27" s="34" t="e">
        <f>AND(#REF!,"AAAAAHf//8Q=")</f>
        <v>#REF!</v>
      </c>
      <c r="GP27" s="34" t="e">
        <f>AND(#REF!,"AAAAAHf//8U=")</f>
        <v>#REF!</v>
      </c>
      <c r="GQ27" s="34" t="e">
        <f>AND(#REF!,"AAAAAHf//8Y=")</f>
        <v>#REF!</v>
      </c>
      <c r="GR27" s="34" t="e">
        <f>AND(#REF!,"AAAAAHf//8c=")</f>
        <v>#REF!</v>
      </c>
      <c r="GS27" s="34" t="e">
        <f>AND(#REF!,"AAAAAHf//8g=")</f>
        <v>#REF!</v>
      </c>
      <c r="GT27" s="34" t="e">
        <f>AND(#REF!,"AAAAAHf//8k=")</f>
        <v>#REF!</v>
      </c>
      <c r="GU27" s="34" t="e">
        <f>AND(#REF!,"AAAAAHf//8o=")</f>
        <v>#REF!</v>
      </c>
      <c r="GV27" s="34" t="e">
        <f>AND(#REF!,"AAAAAHf//8s=")</f>
        <v>#REF!</v>
      </c>
      <c r="GW27" s="34" t="e">
        <f>AND(#REF!,"AAAAAHf//8w=")</f>
        <v>#REF!</v>
      </c>
      <c r="GX27" s="34" t="e">
        <f>AND(#REF!,"AAAAAHf//80=")</f>
        <v>#REF!</v>
      </c>
      <c r="GY27" s="34" t="e">
        <f>AND(#REF!,"AAAAAHf//84=")</f>
        <v>#REF!</v>
      </c>
      <c r="GZ27" s="34" t="e">
        <f>AND(#REF!,"AAAAAHf//88=")</f>
        <v>#REF!</v>
      </c>
      <c r="HA27" s="34" t="e">
        <f>AND(#REF!,"AAAAAHf//9A=")</f>
        <v>#REF!</v>
      </c>
      <c r="HB27" s="34" t="e">
        <f>AND(#REF!,"AAAAAHf//9E=")</f>
        <v>#REF!</v>
      </c>
      <c r="HC27" s="34" t="e">
        <f>AND(#REF!,"AAAAAHf//9I=")</f>
        <v>#REF!</v>
      </c>
      <c r="HD27" s="34" t="e">
        <f>AND(#REF!,"AAAAAHf//9M=")</f>
        <v>#REF!</v>
      </c>
      <c r="HE27" s="34" t="e">
        <f>AND(#REF!,"AAAAAHf//9Q=")</f>
        <v>#REF!</v>
      </c>
      <c r="HF27" s="34" t="e">
        <f>AND(#REF!,"AAAAAHf//9U=")</f>
        <v>#REF!</v>
      </c>
      <c r="HG27" s="34" t="e">
        <f>AND(#REF!,"AAAAAHf//9Y=")</f>
        <v>#REF!</v>
      </c>
      <c r="HH27" s="34" t="e">
        <f>AND(#REF!,"AAAAAHf//9c=")</f>
        <v>#REF!</v>
      </c>
      <c r="HI27" s="34" t="e">
        <f>AND(#REF!,"AAAAAHf//9g=")</f>
        <v>#REF!</v>
      </c>
      <c r="HJ27" s="34" t="e">
        <f>AND(#REF!,"AAAAAHf//9k=")</f>
        <v>#REF!</v>
      </c>
      <c r="HK27" s="34" t="e">
        <f>AND(#REF!,"AAAAAHf//9o=")</f>
        <v>#REF!</v>
      </c>
      <c r="HL27" s="34" t="e">
        <f>AND(#REF!,"AAAAAHf//9s=")</f>
        <v>#REF!</v>
      </c>
      <c r="HM27" s="34" t="e">
        <f>AND(#REF!,"AAAAAHf//9w=")</f>
        <v>#REF!</v>
      </c>
      <c r="HN27" s="34" t="e">
        <f>AND(#REF!,"AAAAAHf//90=")</f>
        <v>#REF!</v>
      </c>
      <c r="HO27" s="34" t="e">
        <f>AND(#REF!,"AAAAAHf//94=")</f>
        <v>#REF!</v>
      </c>
      <c r="HP27" s="34" t="e">
        <f>AND(#REF!,"AAAAAHf//98=")</f>
        <v>#REF!</v>
      </c>
      <c r="HQ27" s="34" t="e">
        <f>AND(#REF!,"AAAAAHf//+A=")</f>
        <v>#REF!</v>
      </c>
      <c r="HR27" s="34" t="e">
        <f>AND(#REF!,"AAAAAHf//+E=")</f>
        <v>#REF!</v>
      </c>
      <c r="HS27" s="34" t="e">
        <f>AND(#REF!,"AAAAAHf//+I=")</f>
        <v>#REF!</v>
      </c>
      <c r="HT27" s="34" t="e">
        <f>AND(#REF!,"AAAAAHf//+M=")</f>
        <v>#REF!</v>
      </c>
      <c r="HU27" s="34" t="e">
        <f>AND(#REF!,"AAAAAHf//+Q=")</f>
        <v>#REF!</v>
      </c>
      <c r="HV27" s="34" t="e">
        <f>AND(#REF!,"AAAAAHf//+U=")</f>
        <v>#REF!</v>
      </c>
      <c r="HW27" s="34" t="e">
        <f>AND(#REF!,"AAAAAHf//+Y=")</f>
        <v>#REF!</v>
      </c>
      <c r="HX27" s="34" t="e">
        <f>IF(#REF!,"AAAAAHf//+c=",0)</f>
        <v>#REF!</v>
      </c>
      <c r="HY27" s="34" t="e">
        <f>AND(#REF!,"AAAAAHf//+g=")</f>
        <v>#REF!</v>
      </c>
      <c r="HZ27" s="34" t="e">
        <f>AND(#REF!,"AAAAAHf//+k=")</f>
        <v>#REF!</v>
      </c>
      <c r="IA27" s="34" t="e">
        <f>AND(#REF!,"AAAAAHf//+o=")</f>
        <v>#REF!</v>
      </c>
      <c r="IB27" s="34" t="e">
        <f>AND(#REF!,"AAAAAHf//+s=")</f>
        <v>#REF!</v>
      </c>
      <c r="IC27" s="34" t="e">
        <f>AND(#REF!,"AAAAAHf//+w=")</f>
        <v>#REF!</v>
      </c>
      <c r="ID27" s="34" t="e">
        <f>AND(#REF!,"AAAAAHf//+0=")</f>
        <v>#REF!</v>
      </c>
      <c r="IE27" s="34" t="e">
        <f>AND(#REF!,"AAAAAHf//+4=")</f>
        <v>#REF!</v>
      </c>
      <c r="IF27" s="34" t="e">
        <f>AND(#REF!,"AAAAAHf//+8=")</f>
        <v>#REF!</v>
      </c>
      <c r="IG27" s="34" t="e">
        <f>AND(#REF!,"AAAAAHf///A=")</f>
        <v>#REF!</v>
      </c>
      <c r="IH27" s="34" t="e">
        <f>AND(#REF!,"AAAAAHf///E=")</f>
        <v>#REF!</v>
      </c>
      <c r="II27" s="34" t="e">
        <f>AND(#REF!,"AAAAAHf///I=")</f>
        <v>#REF!</v>
      </c>
      <c r="IJ27" s="34" t="e">
        <f>AND(#REF!,"AAAAAHf///M=")</f>
        <v>#REF!</v>
      </c>
      <c r="IK27" s="34" t="e">
        <f>AND(#REF!,"AAAAAHf///Q=")</f>
        <v>#REF!</v>
      </c>
      <c r="IL27" s="34" t="e">
        <f>AND(#REF!,"AAAAAHf///U=")</f>
        <v>#REF!</v>
      </c>
      <c r="IM27" s="34" t="e">
        <f>AND(#REF!,"AAAAAHf///Y=")</f>
        <v>#REF!</v>
      </c>
      <c r="IN27" s="34" t="e">
        <f>AND(#REF!,"AAAAAHf///c=")</f>
        <v>#REF!</v>
      </c>
      <c r="IO27" s="34" t="e">
        <f>AND(#REF!,"AAAAAHf///g=")</f>
        <v>#REF!</v>
      </c>
      <c r="IP27" s="34" t="e">
        <f>AND(#REF!,"AAAAAHf///k=")</f>
        <v>#REF!</v>
      </c>
      <c r="IQ27" s="34" t="e">
        <f>AND(#REF!,"AAAAAHf///o=")</f>
        <v>#REF!</v>
      </c>
      <c r="IR27" s="34" t="e">
        <f>AND(#REF!,"AAAAAHf///s=")</f>
        <v>#REF!</v>
      </c>
      <c r="IS27" s="34" t="e">
        <f>AND(#REF!,"AAAAAHf///w=")</f>
        <v>#REF!</v>
      </c>
      <c r="IT27" s="34" t="e">
        <f>AND(#REF!,"AAAAAHf///0=")</f>
        <v>#REF!</v>
      </c>
      <c r="IU27" s="34" t="e">
        <f>AND(#REF!,"AAAAAHf///4=")</f>
        <v>#REF!</v>
      </c>
      <c r="IV27" s="34" t="e">
        <f>AND(#REF!,"AAAAAHf///8=")</f>
        <v>#REF!</v>
      </c>
    </row>
    <row r="28" spans="1:256" ht="12.75" customHeight="1" x14ac:dyDescent="0.2">
      <c r="A28" s="34" t="e">
        <f>AND(#REF!,"AAAAAH19ygA=")</f>
        <v>#REF!</v>
      </c>
      <c r="B28" s="34" t="e">
        <f>AND(#REF!,"AAAAAH19ygE=")</f>
        <v>#REF!</v>
      </c>
      <c r="C28" s="34" t="e">
        <f>AND(#REF!,"AAAAAH19ygI=")</f>
        <v>#REF!</v>
      </c>
      <c r="D28" s="34" t="e">
        <f>AND(#REF!,"AAAAAH19ygM=")</f>
        <v>#REF!</v>
      </c>
      <c r="E28" s="34" t="e">
        <f>AND(#REF!,"AAAAAH19ygQ=")</f>
        <v>#REF!</v>
      </c>
      <c r="F28" s="34" t="e">
        <f>AND(#REF!,"AAAAAH19ygU=")</f>
        <v>#REF!</v>
      </c>
      <c r="G28" s="34" t="e">
        <f>AND(#REF!,"AAAAAH19ygY=")</f>
        <v>#REF!</v>
      </c>
      <c r="H28" s="34" t="e">
        <f>AND(#REF!,"AAAAAH19ygc=")</f>
        <v>#REF!</v>
      </c>
      <c r="I28" s="34" t="e">
        <f>AND(#REF!,"AAAAAH19ygg=")</f>
        <v>#REF!</v>
      </c>
      <c r="J28" s="34" t="e">
        <f>AND(#REF!,"AAAAAH19ygk=")</f>
        <v>#REF!</v>
      </c>
      <c r="K28" s="34" t="e">
        <f>AND(#REF!,"AAAAAH19ygo=")</f>
        <v>#REF!</v>
      </c>
      <c r="L28" s="34" t="e">
        <f>AND(#REF!,"AAAAAH19ygs=")</f>
        <v>#REF!</v>
      </c>
      <c r="M28" s="34" t="e">
        <f>AND(#REF!,"AAAAAH19ygw=")</f>
        <v>#REF!</v>
      </c>
      <c r="N28" s="34" t="e">
        <f>AND(#REF!,"AAAAAH19yg0=")</f>
        <v>#REF!</v>
      </c>
      <c r="O28" s="34" t="e">
        <f>AND(#REF!,"AAAAAH19yg4=")</f>
        <v>#REF!</v>
      </c>
      <c r="P28" s="34" t="e">
        <f>AND(#REF!,"AAAAAH19yg8=")</f>
        <v>#REF!</v>
      </c>
      <c r="Q28" s="34" t="e">
        <f>AND(#REF!,"AAAAAH19yhA=")</f>
        <v>#REF!</v>
      </c>
      <c r="R28" s="34" t="e">
        <f>AND(#REF!,"AAAAAH19yhE=")</f>
        <v>#REF!</v>
      </c>
      <c r="S28" s="34" t="e">
        <f>AND(#REF!,"AAAAAH19yhI=")</f>
        <v>#REF!</v>
      </c>
      <c r="T28" s="34" t="e">
        <f>AND(#REF!,"AAAAAH19yhM=")</f>
        <v>#REF!</v>
      </c>
      <c r="U28" s="34" t="e">
        <f>AND(#REF!,"AAAAAH19yhQ=")</f>
        <v>#REF!</v>
      </c>
      <c r="V28" s="34" t="e">
        <f>AND(#REF!,"AAAAAH19yhU=")</f>
        <v>#REF!</v>
      </c>
      <c r="W28" s="34" t="e">
        <f>AND(#REF!,"AAAAAH19yhY=")</f>
        <v>#REF!</v>
      </c>
      <c r="X28" s="34" t="e">
        <f>AND(#REF!,"AAAAAH19yhc=")</f>
        <v>#REF!</v>
      </c>
      <c r="Y28" s="34" t="e">
        <f>AND(#REF!,"AAAAAH19yhg=")</f>
        <v>#REF!</v>
      </c>
      <c r="Z28" s="34" t="e">
        <f>AND(#REF!,"AAAAAH19yhk=")</f>
        <v>#REF!</v>
      </c>
      <c r="AA28" s="34" t="e">
        <f>AND(#REF!,"AAAAAH19yho=")</f>
        <v>#REF!</v>
      </c>
      <c r="AB28" s="34" t="e">
        <f>AND(#REF!,"AAAAAH19yhs=")</f>
        <v>#REF!</v>
      </c>
      <c r="AC28" s="34" t="e">
        <f>AND(#REF!,"AAAAAH19yhw=")</f>
        <v>#REF!</v>
      </c>
      <c r="AD28" s="34" t="e">
        <f>AND(#REF!,"AAAAAH19yh0=")</f>
        <v>#REF!</v>
      </c>
      <c r="AE28" s="34" t="e">
        <f>AND(#REF!,"AAAAAH19yh4=")</f>
        <v>#REF!</v>
      </c>
      <c r="AF28" s="34" t="e">
        <f>AND(#REF!,"AAAAAH19yh8=")</f>
        <v>#REF!</v>
      </c>
      <c r="AG28" s="34" t="e">
        <f>AND(#REF!,"AAAAAH19yiA=")</f>
        <v>#REF!</v>
      </c>
      <c r="AH28" s="34" t="e">
        <f>AND(#REF!,"AAAAAH19yiE=")</f>
        <v>#REF!</v>
      </c>
      <c r="AI28" s="34" t="e">
        <f>AND(#REF!,"AAAAAH19yiI=")</f>
        <v>#REF!</v>
      </c>
      <c r="AJ28" s="34" t="e">
        <f>AND(#REF!,"AAAAAH19yiM=")</f>
        <v>#REF!</v>
      </c>
      <c r="AK28" s="34" t="e">
        <f>AND(#REF!,"AAAAAH19yiQ=")</f>
        <v>#REF!</v>
      </c>
      <c r="AL28" s="34" t="e">
        <f>AND(#REF!,"AAAAAH19yiU=")</f>
        <v>#REF!</v>
      </c>
      <c r="AM28" s="34" t="e">
        <f>AND(#REF!,"AAAAAH19yiY=")</f>
        <v>#REF!</v>
      </c>
      <c r="AN28" s="34" t="e">
        <f>AND(#REF!,"AAAAAH19yic=")</f>
        <v>#REF!</v>
      </c>
      <c r="AO28" s="34" t="e">
        <f>AND(#REF!,"AAAAAH19yig=")</f>
        <v>#REF!</v>
      </c>
      <c r="AP28" s="34" t="e">
        <f>AND(#REF!,"AAAAAH19yik=")</f>
        <v>#REF!</v>
      </c>
      <c r="AQ28" s="34" t="e">
        <f>AND(#REF!,"AAAAAH19yio=")</f>
        <v>#REF!</v>
      </c>
      <c r="AR28" s="34" t="e">
        <f>AND(#REF!,"AAAAAH19yis=")</f>
        <v>#REF!</v>
      </c>
      <c r="AS28" s="34" t="e">
        <f>AND(#REF!,"AAAAAH19yiw=")</f>
        <v>#REF!</v>
      </c>
      <c r="AT28" s="34" t="e">
        <f>AND(#REF!,"AAAAAH19yi0=")</f>
        <v>#REF!</v>
      </c>
      <c r="AU28" s="34" t="e">
        <f>AND(#REF!,"AAAAAH19yi4=")</f>
        <v>#REF!</v>
      </c>
      <c r="AV28" s="34" t="e">
        <f>AND(#REF!,"AAAAAH19yi8=")</f>
        <v>#REF!</v>
      </c>
      <c r="AW28" s="34" t="e">
        <f>IF(#REF!,"AAAAAH19yjA=",0)</f>
        <v>#REF!</v>
      </c>
      <c r="AX28" s="34" t="e">
        <f>AND(#REF!,"AAAAAH19yjE=")</f>
        <v>#REF!</v>
      </c>
      <c r="AY28" s="34" t="e">
        <f>AND(#REF!,"AAAAAH19yjI=")</f>
        <v>#REF!</v>
      </c>
      <c r="AZ28" s="34" t="e">
        <f>AND(#REF!,"AAAAAH19yjM=")</f>
        <v>#REF!</v>
      </c>
      <c r="BA28" s="34" t="e">
        <f>AND(#REF!,"AAAAAH19yjQ=")</f>
        <v>#REF!</v>
      </c>
      <c r="BB28" s="34" t="e">
        <f>AND(#REF!,"AAAAAH19yjU=")</f>
        <v>#REF!</v>
      </c>
      <c r="BC28" s="34" t="e">
        <f>AND(#REF!,"AAAAAH19yjY=")</f>
        <v>#REF!</v>
      </c>
      <c r="BD28" s="34" t="e">
        <f>AND(#REF!,"AAAAAH19yjc=")</f>
        <v>#REF!</v>
      </c>
      <c r="BE28" s="34" t="e">
        <f>AND(#REF!,"AAAAAH19yjg=")</f>
        <v>#REF!</v>
      </c>
      <c r="BF28" s="34" t="e">
        <f>AND(#REF!,"AAAAAH19yjk=")</f>
        <v>#REF!</v>
      </c>
      <c r="BG28" s="34" t="e">
        <f>AND(#REF!,"AAAAAH19yjo=")</f>
        <v>#REF!</v>
      </c>
      <c r="BH28" s="34" t="e">
        <f>AND(#REF!,"AAAAAH19yjs=")</f>
        <v>#REF!</v>
      </c>
      <c r="BI28" s="34" t="e">
        <f>AND(#REF!,"AAAAAH19yjw=")</f>
        <v>#REF!</v>
      </c>
      <c r="BJ28" s="34" t="e">
        <f>AND(#REF!,"AAAAAH19yj0=")</f>
        <v>#REF!</v>
      </c>
      <c r="BK28" s="34" t="e">
        <f>AND(#REF!,"AAAAAH19yj4=")</f>
        <v>#REF!</v>
      </c>
      <c r="BL28" s="34" t="e">
        <f>AND(#REF!,"AAAAAH19yj8=")</f>
        <v>#REF!</v>
      </c>
      <c r="BM28" s="34" t="e">
        <f>AND(#REF!,"AAAAAH19ykA=")</f>
        <v>#REF!</v>
      </c>
      <c r="BN28" s="34" t="e">
        <f>AND(#REF!,"AAAAAH19ykE=")</f>
        <v>#REF!</v>
      </c>
      <c r="BO28" s="34" t="e">
        <f>AND(#REF!,"AAAAAH19ykI=")</f>
        <v>#REF!</v>
      </c>
      <c r="BP28" s="34" t="e">
        <f>AND(#REF!,"AAAAAH19ykM=")</f>
        <v>#REF!</v>
      </c>
      <c r="BQ28" s="34" t="e">
        <f>AND(#REF!,"AAAAAH19ykQ=")</f>
        <v>#REF!</v>
      </c>
      <c r="BR28" s="34" t="e">
        <f>AND(#REF!,"AAAAAH19ykU=")</f>
        <v>#REF!</v>
      </c>
      <c r="BS28" s="34" t="e">
        <f>AND(#REF!,"AAAAAH19ykY=")</f>
        <v>#REF!</v>
      </c>
      <c r="BT28" s="34" t="e">
        <f>AND(#REF!,"AAAAAH19ykc=")</f>
        <v>#REF!</v>
      </c>
      <c r="BU28" s="34" t="e">
        <f>AND(#REF!,"AAAAAH19ykg=")</f>
        <v>#REF!</v>
      </c>
      <c r="BV28" s="34" t="e">
        <f>AND(#REF!,"AAAAAH19ykk=")</f>
        <v>#REF!</v>
      </c>
      <c r="BW28" s="34" t="e">
        <f>AND(#REF!,"AAAAAH19yko=")</f>
        <v>#REF!</v>
      </c>
      <c r="BX28" s="34" t="e">
        <f>AND(#REF!,"AAAAAH19yks=")</f>
        <v>#REF!</v>
      </c>
      <c r="BY28" s="34" t="e">
        <f>AND(#REF!,"AAAAAH19ykw=")</f>
        <v>#REF!</v>
      </c>
      <c r="BZ28" s="34" t="e">
        <f>AND(#REF!,"AAAAAH19yk0=")</f>
        <v>#REF!</v>
      </c>
      <c r="CA28" s="34" t="e">
        <f>AND(#REF!,"AAAAAH19yk4=")</f>
        <v>#REF!</v>
      </c>
      <c r="CB28" s="34" t="e">
        <f>AND(#REF!,"AAAAAH19yk8=")</f>
        <v>#REF!</v>
      </c>
      <c r="CC28" s="34" t="e">
        <f>AND(#REF!,"AAAAAH19ylA=")</f>
        <v>#REF!</v>
      </c>
      <c r="CD28" s="34" t="e">
        <f>AND(#REF!,"AAAAAH19ylE=")</f>
        <v>#REF!</v>
      </c>
      <c r="CE28" s="34" t="e">
        <f>AND(#REF!,"AAAAAH19ylI=")</f>
        <v>#REF!</v>
      </c>
      <c r="CF28" s="34" t="e">
        <f>AND(#REF!,"AAAAAH19ylM=")</f>
        <v>#REF!</v>
      </c>
      <c r="CG28" s="34" t="e">
        <f>AND(#REF!,"AAAAAH19ylQ=")</f>
        <v>#REF!</v>
      </c>
      <c r="CH28" s="34" t="e">
        <f>AND(#REF!,"AAAAAH19ylU=")</f>
        <v>#REF!</v>
      </c>
      <c r="CI28" s="34" t="e">
        <f>AND(#REF!,"AAAAAH19ylY=")</f>
        <v>#REF!</v>
      </c>
      <c r="CJ28" s="34" t="e">
        <f>AND(#REF!,"AAAAAH19ylc=")</f>
        <v>#REF!</v>
      </c>
      <c r="CK28" s="34" t="e">
        <f>AND(#REF!,"AAAAAH19ylg=")</f>
        <v>#REF!</v>
      </c>
      <c r="CL28" s="34" t="e">
        <f>AND(#REF!,"AAAAAH19ylk=")</f>
        <v>#REF!</v>
      </c>
      <c r="CM28" s="34" t="e">
        <f>AND(#REF!,"AAAAAH19ylo=")</f>
        <v>#REF!</v>
      </c>
      <c r="CN28" s="34" t="e">
        <f>AND(#REF!,"AAAAAH19yls=")</f>
        <v>#REF!</v>
      </c>
      <c r="CO28" s="34" t="e">
        <f>AND(#REF!,"AAAAAH19ylw=")</f>
        <v>#REF!</v>
      </c>
      <c r="CP28" s="34" t="e">
        <f>AND(#REF!,"AAAAAH19yl0=")</f>
        <v>#REF!</v>
      </c>
      <c r="CQ28" s="34" t="e">
        <f>AND(#REF!,"AAAAAH19yl4=")</f>
        <v>#REF!</v>
      </c>
      <c r="CR28" s="34" t="e">
        <f>AND(#REF!,"AAAAAH19yl8=")</f>
        <v>#REF!</v>
      </c>
      <c r="CS28" s="34" t="e">
        <f>AND(#REF!,"AAAAAH19ymA=")</f>
        <v>#REF!</v>
      </c>
      <c r="CT28" s="34" t="e">
        <f>AND(#REF!,"AAAAAH19ymE=")</f>
        <v>#REF!</v>
      </c>
      <c r="CU28" s="34" t="e">
        <f>AND(#REF!,"AAAAAH19ymI=")</f>
        <v>#REF!</v>
      </c>
      <c r="CV28" s="34" t="e">
        <f>AND(#REF!,"AAAAAH19ymM=")</f>
        <v>#REF!</v>
      </c>
      <c r="CW28" s="34" t="e">
        <f>AND(#REF!,"AAAAAH19ymQ=")</f>
        <v>#REF!</v>
      </c>
      <c r="CX28" s="34" t="e">
        <f>AND(#REF!,"AAAAAH19ymU=")</f>
        <v>#REF!</v>
      </c>
      <c r="CY28" s="34" t="e">
        <f>AND(#REF!,"AAAAAH19ymY=")</f>
        <v>#REF!</v>
      </c>
      <c r="CZ28" s="34" t="e">
        <f>AND(#REF!,"AAAAAH19ymc=")</f>
        <v>#REF!</v>
      </c>
      <c r="DA28" s="34" t="e">
        <f>AND(#REF!,"AAAAAH19ymg=")</f>
        <v>#REF!</v>
      </c>
      <c r="DB28" s="34" t="e">
        <f>AND(#REF!,"AAAAAH19ymk=")</f>
        <v>#REF!</v>
      </c>
      <c r="DC28" s="34" t="e">
        <f>AND(#REF!,"AAAAAH19ymo=")</f>
        <v>#REF!</v>
      </c>
      <c r="DD28" s="34" t="e">
        <f>AND(#REF!,"AAAAAH19yms=")</f>
        <v>#REF!</v>
      </c>
      <c r="DE28" s="34" t="e">
        <f>AND(#REF!,"AAAAAH19ymw=")</f>
        <v>#REF!</v>
      </c>
      <c r="DF28" s="34" t="e">
        <f>AND(#REF!,"AAAAAH19ym0=")</f>
        <v>#REF!</v>
      </c>
      <c r="DG28" s="34" t="e">
        <f>AND(#REF!,"AAAAAH19ym4=")</f>
        <v>#REF!</v>
      </c>
      <c r="DH28" s="34" t="e">
        <f>AND(#REF!,"AAAAAH19ym8=")</f>
        <v>#REF!</v>
      </c>
      <c r="DI28" s="34" t="e">
        <f>AND(#REF!,"AAAAAH19ynA=")</f>
        <v>#REF!</v>
      </c>
      <c r="DJ28" s="34" t="e">
        <f>AND(#REF!,"AAAAAH19ynE=")</f>
        <v>#REF!</v>
      </c>
      <c r="DK28" s="34" t="e">
        <f>AND(#REF!,"AAAAAH19ynI=")</f>
        <v>#REF!</v>
      </c>
      <c r="DL28" s="34" t="e">
        <f>AND(#REF!,"AAAAAH19ynM=")</f>
        <v>#REF!</v>
      </c>
      <c r="DM28" s="34" t="e">
        <f>AND(#REF!,"AAAAAH19ynQ=")</f>
        <v>#REF!</v>
      </c>
      <c r="DN28" s="34" t="e">
        <f>AND(#REF!,"AAAAAH19ynU=")</f>
        <v>#REF!</v>
      </c>
      <c r="DO28" s="34" t="e">
        <f>AND(#REF!,"AAAAAH19ynY=")</f>
        <v>#REF!</v>
      </c>
      <c r="DP28" s="34" t="e">
        <f>AND(#REF!,"AAAAAH19ync=")</f>
        <v>#REF!</v>
      </c>
      <c r="DQ28" s="34" t="e">
        <f>AND(#REF!,"AAAAAH19yng=")</f>
        <v>#REF!</v>
      </c>
      <c r="DR28" s="34" t="e">
        <f>IF(#REF!,"AAAAAH19ynk=",0)</f>
        <v>#REF!</v>
      </c>
      <c r="DS28" s="34" t="e">
        <f>AND(#REF!,"AAAAAH19yno=")</f>
        <v>#REF!</v>
      </c>
      <c r="DT28" s="34" t="e">
        <f>AND(#REF!,"AAAAAH19yns=")</f>
        <v>#REF!</v>
      </c>
      <c r="DU28" s="34" t="e">
        <f>AND(#REF!,"AAAAAH19ynw=")</f>
        <v>#REF!</v>
      </c>
      <c r="DV28" s="34" t="e">
        <f>AND(#REF!,"AAAAAH19yn0=")</f>
        <v>#REF!</v>
      </c>
      <c r="DW28" s="34" t="e">
        <f>AND(#REF!,"AAAAAH19yn4=")</f>
        <v>#REF!</v>
      </c>
      <c r="DX28" s="34" t="e">
        <f>AND(#REF!,"AAAAAH19yn8=")</f>
        <v>#REF!</v>
      </c>
      <c r="DY28" s="34" t="e">
        <f>AND(#REF!,"AAAAAH19yoA=")</f>
        <v>#REF!</v>
      </c>
      <c r="DZ28" s="34" t="e">
        <f>AND(#REF!,"AAAAAH19yoE=")</f>
        <v>#REF!</v>
      </c>
      <c r="EA28" s="34" t="e">
        <f>AND(#REF!,"AAAAAH19yoI=")</f>
        <v>#REF!</v>
      </c>
      <c r="EB28" s="34" t="e">
        <f>AND(#REF!,"AAAAAH19yoM=")</f>
        <v>#REF!</v>
      </c>
      <c r="EC28" s="34" t="e">
        <f>AND(#REF!,"AAAAAH19yoQ=")</f>
        <v>#REF!</v>
      </c>
      <c r="ED28" s="34" t="e">
        <f>AND(#REF!,"AAAAAH19yoU=")</f>
        <v>#REF!</v>
      </c>
      <c r="EE28" s="34" t="e">
        <f>AND(#REF!,"AAAAAH19yoY=")</f>
        <v>#REF!</v>
      </c>
      <c r="EF28" s="34" t="e">
        <f>AND(#REF!,"AAAAAH19yoc=")</f>
        <v>#REF!</v>
      </c>
      <c r="EG28" s="34" t="e">
        <f>AND(#REF!,"AAAAAH19yog=")</f>
        <v>#REF!</v>
      </c>
      <c r="EH28" s="34" t="e">
        <f>AND(#REF!,"AAAAAH19yok=")</f>
        <v>#REF!</v>
      </c>
      <c r="EI28" s="34" t="e">
        <f>AND(#REF!,"AAAAAH19yoo=")</f>
        <v>#REF!</v>
      </c>
      <c r="EJ28" s="34" t="e">
        <f>AND(#REF!,"AAAAAH19yos=")</f>
        <v>#REF!</v>
      </c>
      <c r="EK28" s="34" t="e">
        <f>AND(#REF!,"AAAAAH19yow=")</f>
        <v>#REF!</v>
      </c>
      <c r="EL28" s="34" t="e">
        <f>AND(#REF!,"AAAAAH19yo0=")</f>
        <v>#REF!</v>
      </c>
      <c r="EM28" s="34" t="e">
        <f>AND(#REF!,"AAAAAH19yo4=")</f>
        <v>#REF!</v>
      </c>
      <c r="EN28" s="34" t="e">
        <f>AND(#REF!,"AAAAAH19yo8=")</f>
        <v>#REF!</v>
      </c>
      <c r="EO28" s="34" t="e">
        <f>AND(#REF!,"AAAAAH19ypA=")</f>
        <v>#REF!</v>
      </c>
      <c r="EP28" s="34" t="e">
        <f>AND(#REF!,"AAAAAH19ypE=")</f>
        <v>#REF!</v>
      </c>
      <c r="EQ28" s="34" t="e">
        <f>AND(#REF!,"AAAAAH19ypI=")</f>
        <v>#REF!</v>
      </c>
      <c r="ER28" s="34" t="e">
        <f>AND(#REF!,"AAAAAH19ypM=")</f>
        <v>#REF!</v>
      </c>
      <c r="ES28" s="34" t="e">
        <f>AND(#REF!,"AAAAAH19ypQ=")</f>
        <v>#REF!</v>
      </c>
      <c r="ET28" s="34" t="e">
        <f>AND(#REF!,"AAAAAH19ypU=")</f>
        <v>#REF!</v>
      </c>
      <c r="EU28" s="34" t="e">
        <f>AND(#REF!,"AAAAAH19ypY=")</f>
        <v>#REF!</v>
      </c>
      <c r="EV28" s="34" t="e">
        <f>AND(#REF!,"AAAAAH19ypc=")</f>
        <v>#REF!</v>
      </c>
      <c r="EW28" s="34" t="e">
        <f>AND(#REF!,"AAAAAH19ypg=")</f>
        <v>#REF!</v>
      </c>
      <c r="EX28" s="34" t="e">
        <f>AND(#REF!,"AAAAAH19ypk=")</f>
        <v>#REF!</v>
      </c>
      <c r="EY28" s="34" t="e">
        <f>AND(#REF!,"AAAAAH19ypo=")</f>
        <v>#REF!</v>
      </c>
      <c r="EZ28" s="34" t="e">
        <f>AND(#REF!,"AAAAAH19yps=")</f>
        <v>#REF!</v>
      </c>
      <c r="FA28" s="34" t="e">
        <f>AND(#REF!,"AAAAAH19ypw=")</f>
        <v>#REF!</v>
      </c>
      <c r="FB28" s="34" t="e">
        <f>AND(#REF!,"AAAAAH19yp0=")</f>
        <v>#REF!</v>
      </c>
      <c r="FC28" s="34" t="e">
        <f>AND(#REF!,"AAAAAH19yp4=")</f>
        <v>#REF!</v>
      </c>
      <c r="FD28" s="34" t="e">
        <f>AND(#REF!,"AAAAAH19yp8=")</f>
        <v>#REF!</v>
      </c>
      <c r="FE28" s="34" t="e">
        <f>AND(#REF!,"AAAAAH19yqA=")</f>
        <v>#REF!</v>
      </c>
      <c r="FF28" s="34" t="e">
        <f>AND(#REF!,"AAAAAH19yqE=")</f>
        <v>#REF!</v>
      </c>
      <c r="FG28" s="34" t="e">
        <f>AND(#REF!,"AAAAAH19yqI=")</f>
        <v>#REF!</v>
      </c>
      <c r="FH28" s="34" t="e">
        <f>AND(#REF!,"AAAAAH19yqM=")</f>
        <v>#REF!</v>
      </c>
      <c r="FI28" s="34" t="e">
        <f>AND(#REF!,"AAAAAH19yqQ=")</f>
        <v>#REF!</v>
      </c>
      <c r="FJ28" s="34" t="e">
        <f>AND(#REF!,"AAAAAH19yqU=")</f>
        <v>#REF!</v>
      </c>
      <c r="FK28" s="34" t="e">
        <f>AND(#REF!,"AAAAAH19yqY=")</f>
        <v>#REF!</v>
      </c>
      <c r="FL28" s="34" t="e">
        <f>AND(#REF!,"AAAAAH19yqc=")</f>
        <v>#REF!</v>
      </c>
      <c r="FM28" s="34" t="e">
        <f>AND(#REF!,"AAAAAH19yqg=")</f>
        <v>#REF!</v>
      </c>
      <c r="FN28" s="34" t="e">
        <f>AND(#REF!,"AAAAAH19yqk=")</f>
        <v>#REF!</v>
      </c>
      <c r="FO28" s="34" t="e">
        <f>AND(#REF!,"AAAAAH19yqo=")</f>
        <v>#REF!</v>
      </c>
      <c r="FP28" s="34" t="e">
        <f>AND(#REF!,"AAAAAH19yqs=")</f>
        <v>#REF!</v>
      </c>
      <c r="FQ28" s="34" t="e">
        <f>AND(#REF!,"AAAAAH19yqw=")</f>
        <v>#REF!</v>
      </c>
      <c r="FR28" s="34" t="e">
        <f>AND(#REF!,"AAAAAH19yq0=")</f>
        <v>#REF!</v>
      </c>
      <c r="FS28" s="34" t="e">
        <f>AND(#REF!,"AAAAAH19yq4=")</f>
        <v>#REF!</v>
      </c>
      <c r="FT28" s="34" t="e">
        <f>AND(#REF!,"AAAAAH19yq8=")</f>
        <v>#REF!</v>
      </c>
      <c r="FU28" s="34" t="e">
        <f>AND(#REF!,"AAAAAH19yrA=")</f>
        <v>#REF!</v>
      </c>
      <c r="FV28" s="34" t="e">
        <f>AND(#REF!,"AAAAAH19yrE=")</f>
        <v>#REF!</v>
      </c>
      <c r="FW28" s="34" t="e">
        <f>AND(#REF!,"AAAAAH19yrI=")</f>
        <v>#REF!</v>
      </c>
      <c r="FX28" s="34" t="e">
        <f>AND(#REF!,"AAAAAH19yrM=")</f>
        <v>#REF!</v>
      </c>
      <c r="FY28" s="34" t="e">
        <f>AND(#REF!,"AAAAAH19yrQ=")</f>
        <v>#REF!</v>
      </c>
      <c r="FZ28" s="34" t="e">
        <f>AND(#REF!,"AAAAAH19yrU=")</f>
        <v>#REF!</v>
      </c>
      <c r="GA28" s="34" t="e">
        <f>AND(#REF!,"AAAAAH19yrY=")</f>
        <v>#REF!</v>
      </c>
      <c r="GB28" s="34" t="e">
        <f>AND(#REF!,"AAAAAH19yrc=")</f>
        <v>#REF!</v>
      </c>
      <c r="GC28" s="34" t="e">
        <f>AND(#REF!,"AAAAAH19yrg=")</f>
        <v>#REF!</v>
      </c>
      <c r="GD28" s="34" t="e">
        <f>AND(#REF!,"AAAAAH19yrk=")</f>
        <v>#REF!</v>
      </c>
      <c r="GE28" s="34" t="e">
        <f>AND(#REF!,"AAAAAH19yro=")</f>
        <v>#REF!</v>
      </c>
      <c r="GF28" s="34" t="e">
        <f>AND(#REF!,"AAAAAH19yrs=")</f>
        <v>#REF!</v>
      </c>
      <c r="GG28" s="34" t="e">
        <f>AND(#REF!,"AAAAAH19yrw=")</f>
        <v>#REF!</v>
      </c>
      <c r="GH28" s="34" t="e">
        <f>AND(#REF!,"AAAAAH19yr0=")</f>
        <v>#REF!</v>
      </c>
      <c r="GI28" s="34" t="e">
        <f>AND(#REF!,"AAAAAH19yr4=")</f>
        <v>#REF!</v>
      </c>
      <c r="GJ28" s="34" t="e">
        <f>AND(#REF!,"AAAAAH19yr8=")</f>
        <v>#REF!</v>
      </c>
      <c r="GK28" s="34" t="e">
        <f>AND(#REF!,"AAAAAH19ysA=")</f>
        <v>#REF!</v>
      </c>
      <c r="GL28" s="34" t="e">
        <f>AND(#REF!,"AAAAAH19ysE=")</f>
        <v>#REF!</v>
      </c>
      <c r="GM28" s="34" t="e">
        <f>IF(#REF!,"AAAAAH19ysI=",0)</f>
        <v>#REF!</v>
      </c>
      <c r="GN28" s="34" t="e">
        <f>AND(#REF!,"AAAAAH19ysM=")</f>
        <v>#REF!</v>
      </c>
      <c r="GO28" s="34" t="e">
        <f>AND(#REF!,"AAAAAH19ysQ=")</f>
        <v>#REF!</v>
      </c>
      <c r="GP28" s="34" t="e">
        <f>AND(#REF!,"AAAAAH19ysU=")</f>
        <v>#REF!</v>
      </c>
      <c r="GQ28" s="34" t="e">
        <f>AND(#REF!,"AAAAAH19ysY=")</f>
        <v>#REF!</v>
      </c>
      <c r="GR28" s="34" t="e">
        <f>AND(#REF!,"AAAAAH19ysc=")</f>
        <v>#REF!</v>
      </c>
      <c r="GS28" s="34" t="e">
        <f>AND(#REF!,"AAAAAH19ysg=")</f>
        <v>#REF!</v>
      </c>
      <c r="GT28" s="34" t="e">
        <f>AND(#REF!,"AAAAAH19ysk=")</f>
        <v>#REF!</v>
      </c>
      <c r="GU28" s="34" t="e">
        <f>AND(#REF!,"AAAAAH19yso=")</f>
        <v>#REF!</v>
      </c>
      <c r="GV28" s="34" t="e">
        <f>AND(#REF!,"AAAAAH19yss=")</f>
        <v>#REF!</v>
      </c>
      <c r="GW28" s="34" t="e">
        <f>AND(#REF!,"AAAAAH19ysw=")</f>
        <v>#REF!</v>
      </c>
      <c r="GX28" s="34" t="e">
        <f>AND(#REF!,"AAAAAH19ys0=")</f>
        <v>#REF!</v>
      </c>
      <c r="GY28" s="34" t="e">
        <f>AND(#REF!,"AAAAAH19ys4=")</f>
        <v>#REF!</v>
      </c>
      <c r="GZ28" s="34" t="e">
        <f>AND(#REF!,"AAAAAH19ys8=")</f>
        <v>#REF!</v>
      </c>
      <c r="HA28" s="34" t="e">
        <f>AND(#REF!,"AAAAAH19ytA=")</f>
        <v>#REF!</v>
      </c>
      <c r="HB28" s="34" t="e">
        <f>AND(#REF!,"AAAAAH19ytE=")</f>
        <v>#REF!</v>
      </c>
      <c r="HC28" s="34" t="e">
        <f>AND(#REF!,"AAAAAH19ytI=")</f>
        <v>#REF!</v>
      </c>
      <c r="HD28" s="34" t="e">
        <f>AND(#REF!,"AAAAAH19ytM=")</f>
        <v>#REF!</v>
      </c>
      <c r="HE28" s="34" t="e">
        <f>AND(#REF!,"AAAAAH19ytQ=")</f>
        <v>#REF!</v>
      </c>
      <c r="HF28" s="34" t="e">
        <f>AND(#REF!,"AAAAAH19ytU=")</f>
        <v>#REF!</v>
      </c>
      <c r="HG28" s="34" t="e">
        <f>AND(#REF!,"AAAAAH19ytY=")</f>
        <v>#REF!</v>
      </c>
      <c r="HH28" s="34" t="e">
        <f>AND(#REF!,"AAAAAH19ytc=")</f>
        <v>#REF!</v>
      </c>
      <c r="HI28" s="34" t="e">
        <f>AND(#REF!,"AAAAAH19ytg=")</f>
        <v>#REF!</v>
      </c>
      <c r="HJ28" s="34" t="e">
        <f>AND(#REF!,"AAAAAH19ytk=")</f>
        <v>#REF!</v>
      </c>
      <c r="HK28" s="34" t="e">
        <f>AND(#REF!,"AAAAAH19yto=")</f>
        <v>#REF!</v>
      </c>
      <c r="HL28" s="34" t="e">
        <f>AND(#REF!,"AAAAAH19yts=")</f>
        <v>#REF!</v>
      </c>
      <c r="HM28" s="34" t="e">
        <f>AND(#REF!,"AAAAAH19ytw=")</f>
        <v>#REF!</v>
      </c>
      <c r="HN28" s="34" t="e">
        <f>AND(#REF!,"AAAAAH19yt0=")</f>
        <v>#REF!</v>
      </c>
      <c r="HO28" s="34" t="e">
        <f>AND(#REF!,"AAAAAH19yt4=")</f>
        <v>#REF!</v>
      </c>
      <c r="HP28" s="34" t="e">
        <f>AND(#REF!,"AAAAAH19yt8=")</f>
        <v>#REF!</v>
      </c>
      <c r="HQ28" s="34" t="e">
        <f>AND(#REF!,"AAAAAH19yuA=")</f>
        <v>#REF!</v>
      </c>
      <c r="HR28" s="34" t="e">
        <f>AND(#REF!,"AAAAAH19yuE=")</f>
        <v>#REF!</v>
      </c>
      <c r="HS28" s="34" t="e">
        <f>AND(#REF!,"AAAAAH19yuI=")</f>
        <v>#REF!</v>
      </c>
      <c r="HT28" s="34" t="e">
        <f>AND(#REF!,"AAAAAH19yuM=")</f>
        <v>#REF!</v>
      </c>
      <c r="HU28" s="34" t="e">
        <f>AND(#REF!,"AAAAAH19yuQ=")</f>
        <v>#REF!</v>
      </c>
      <c r="HV28" s="34" t="e">
        <f>AND(#REF!,"AAAAAH19yuU=")</f>
        <v>#REF!</v>
      </c>
      <c r="HW28" s="34" t="e">
        <f>AND(#REF!,"AAAAAH19yuY=")</f>
        <v>#REF!</v>
      </c>
      <c r="HX28" s="34" t="e">
        <f>AND(#REF!,"AAAAAH19yuc=")</f>
        <v>#REF!</v>
      </c>
      <c r="HY28" s="34" t="e">
        <f>AND(#REF!,"AAAAAH19yug=")</f>
        <v>#REF!</v>
      </c>
      <c r="HZ28" s="34" t="e">
        <f>AND(#REF!,"AAAAAH19yuk=")</f>
        <v>#REF!</v>
      </c>
      <c r="IA28" s="34" t="e">
        <f>AND(#REF!,"AAAAAH19yuo=")</f>
        <v>#REF!</v>
      </c>
      <c r="IB28" s="34" t="e">
        <f>AND(#REF!,"AAAAAH19yus=")</f>
        <v>#REF!</v>
      </c>
      <c r="IC28" s="34" t="e">
        <f>AND(#REF!,"AAAAAH19yuw=")</f>
        <v>#REF!</v>
      </c>
      <c r="ID28" s="34" t="e">
        <f>AND(#REF!,"AAAAAH19yu0=")</f>
        <v>#REF!</v>
      </c>
      <c r="IE28" s="34" t="e">
        <f>AND(#REF!,"AAAAAH19yu4=")</f>
        <v>#REF!</v>
      </c>
      <c r="IF28" s="34" t="e">
        <f>AND(#REF!,"AAAAAH19yu8=")</f>
        <v>#REF!</v>
      </c>
      <c r="IG28" s="34" t="e">
        <f>AND(#REF!,"AAAAAH19yvA=")</f>
        <v>#REF!</v>
      </c>
      <c r="IH28" s="34" t="e">
        <f>AND(#REF!,"AAAAAH19yvE=")</f>
        <v>#REF!</v>
      </c>
      <c r="II28" s="34" t="e">
        <f>AND(#REF!,"AAAAAH19yvI=")</f>
        <v>#REF!</v>
      </c>
      <c r="IJ28" s="34" t="e">
        <f>AND(#REF!,"AAAAAH19yvM=")</f>
        <v>#REF!</v>
      </c>
      <c r="IK28" s="34" t="e">
        <f>AND(#REF!,"AAAAAH19yvQ=")</f>
        <v>#REF!</v>
      </c>
      <c r="IL28" s="34" t="e">
        <f>AND(#REF!,"AAAAAH19yvU=")</f>
        <v>#REF!</v>
      </c>
      <c r="IM28" s="34" t="e">
        <f>AND(#REF!,"AAAAAH19yvY=")</f>
        <v>#REF!</v>
      </c>
      <c r="IN28" s="34" t="e">
        <f>AND(#REF!,"AAAAAH19yvc=")</f>
        <v>#REF!</v>
      </c>
      <c r="IO28" s="34" t="e">
        <f>AND(#REF!,"AAAAAH19yvg=")</f>
        <v>#REF!</v>
      </c>
      <c r="IP28" s="34" t="e">
        <f>AND(#REF!,"AAAAAH19yvk=")</f>
        <v>#REF!</v>
      </c>
      <c r="IQ28" s="34" t="e">
        <f>AND(#REF!,"AAAAAH19yvo=")</f>
        <v>#REF!</v>
      </c>
      <c r="IR28" s="34" t="e">
        <f>AND(#REF!,"AAAAAH19yvs=")</f>
        <v>#REF!</v>
      </c>
      <c r="IS28" s="34" t="e">
        <f>AND(#REF!,"AAAAAH19yvw=")</f>
        <v>#REF!</v>
      </c>
      <c r="IT28" s="34" t="e">
        <f>AND(#REF!,"AAAAAH19yv0=")</f>
        <v>#REF!</v>
      </c>
      <c r="IU28" s="34" t="e">
        <f>AND(#REF!,"AAAAAH19yv4=")</f>
        <v>#REF!</v>
      </c>
      <c r="IV28" s="34" t="e">
        <f>AND(#REF!,"AAAAAH19yv8=")</f>
        <v>#REF!</v>
      </c>
    </row>
    <row r="29" spans="1:256" ht="12.75" customHeight="1" x14ac:dyDescent="0.2">
      <c r="A29" s="34" t="e">
        <f>AND(#REF!,"AAAAAB//3wA=")</f>
        <v>#REF!</v>
      </c>
      <c r="B29" s="34" t="e">
        <f>AND(#REF!,"AAAAAB//3wE=")</f>
        <v>#REF!</v>
      </c>
      <c r="C29" s="34" t="e">
        <f>AND(#REF!,"AAAAAB//3wI=")</f>
        <v>#REF!</v>
      </c>
      <c r="D29" s="34" t="e">
        <f>AND(#REF!,"AAAAAB//3wM=")</f>
        <v>#REF!</v>
      </c>
      <c r="E29" s="34" t="e">
        <f>AND(#REF!,"AAAAAB//3wQ=")</f>
        <v>#REF!</v>
      </c>
      <c r="F29" s="34" t="e">
        <f>AND(#REF!,"AAAAAB//3wU=")</f>
        <v>#REF!</v>
      </c>
      <c r="G29" s="34" t="e">
        <f>AND(#REF!,"AAAAAB//3wY=")</f>
        <v>#REF!</v>
      </c>
      <c r="H29" s="34" t="e">
        <f>AND(#REF!,"AAAAAB//3wc=")</f>
        <v>#REF!</v>
      </c>
      <c r="I29" s="34" t="e">
        <f>AND(#REF!,"AAAAAB//3wg=")</f>
        <v>#REF!</v>
      </c>
      <c r="J29" s="34" t="e">
        <f>AND(#REF!,"AAAAAB//3wk=")</f>
        <v>#REF!</v>
      </c>
      <c r="K29" s="34" t="e">
        <f>AND(#REF!,"AAAAAB//3wo=")</f>
        <v>#REF!</v>
      </c>
      <c r="L29" s="34" t="e">
        <f>IF(#REF!,"AAAAAB//3ws=",0)</f>
        <v>#REF!</v>
      </c>
      <c r="M29" s="34" t="e">
        <f>AND(#REF!,"AAAAAB//3ww=")</f>
        <v>#REF!</v>
      </c>
      <c r="N29" s="34" t="e">
        <f>AND(#REF!,"AAAAAB//3w0=")</f>
        <v>#REF!</v>
      </c>
      <c r="O29" s="34" t="e">
        <f>AND(#REF!,"AAAAAB//3w4=")</f>
        <v>#REF!</v>
      </c>
      <c r="P29" s="34" t="e">
        <f>AND(#REF!,"AAAAAB//3w8=")</f>
        <v>#REF!</v>
      </c>
      <c r="Q29" s="34" t="e">
        <f>AND(#REF!,"AAAAAB//3xA=")</f>
        <v>#REF!</v>
      </c>
      <c r="R29" s="34" t="e">
        <f>AND(#REF!,"AAAAAB//3xE=")</f>
        <v>#REF!</v>
      </c>
      <c r="S29" s="34" t="e">
        <f>AND(#REF!,"AAAAAB//3xI=")</f>
        <v>#REF!</v>
      </c>
      <c r="T29" s="34" t="e">
        <f>AND(#REF!,"AAAAAB//3xM=")</f>
        <v>#REF!</v>
      </c>
      <c r="U29" s="34" t="e">
        <f>AND(#REF!,"AAAAAB//3xQ=")</f>
        <v>#REF!</v>
      </c>
      <c r="V29" s="34" t="e">
        <f>AND(#REF!,"AAAAAB//3xU=")</f>
        <v>#REF!</v>
      </c>
      <c r="W29" s="34" t="e">
        <f>AND(#REF!,"AAAAAB//3xY=")</f>
        <v>#REF!</v>
      </c>
      <c r="X29" s="34" t="e">
        <f>AND(#REF!,"AAAAAB//3xc=")</f>
        <v>#REF!</v>
      </c>
      <c r="Y29" s="34" t="e">
        <f>AND(#REF!,"AAAAAB//3xg=")</f>
        <v>#REF!</v>
      </c>
      <c r="Z29" s="34" t="e">
        <f>AND(#REF!,"AAAAAB//3xk=")</f>
        <v>#REF!</v>
      </c>
      <c r="AA29" s="34" t="e">
        <f>AND(#REF!,"AAAAAB//3xo=")</f>
        <v>#REF!</v>
      </c>
      <c r="AB29" s="34" t="e">
        <f>AND(#REF!,"AAAAAB//3xs=")</f>
        <v>#REF!</v>
      </c>
      <c r="AC29" s="34" t="e">
        <f>AND(#REF!,"AAAAAB//3xw=")</f>
        <v>#REF!</v>
      </c>
      <c r="AD29" s="34" t="e">
        <f>AND(#REF!,"AAAAAB//3x0=")</f>
        <v>#REF!</v>
      </c>
      <c r="AE29" s="34" t="e">
        <f>AND(#REF!,"AAAAAB//3x4=")</f>
        <v>#REF!</v>
      </c>
      <c r="AF29" s="34" t="e">
        <f>AND(#REF!,"AAAAAB//3x8=")</f>
        <v>#REF!</v>
      </c>
      <c r="AG29" s="34" t="e">
        <f>AND(#REF!,"AAAAAB//3yA=")</f>
        <v>#REF!</v>
      </c>
      <c r="AH29" s="34" t="e">
        <f>AND(#REF!,"AAAAAB//3yE=")</f>
        <v>#REF!</v>
      </c>
      <c r="AI29" s="34" t="e">
        <f>AND(#REF!,"AAAAAB//3yI=")</f>
        <v>#REF!</v>
      </c>
      <c r="AJ29" s="34" t="e">
        <f>AND(#REF!,"AAAAAB//3yM=")</f>
        <v>#REF!</v>
      </c>
      <c r="AK29" s="34" t="e">
        <f>AND(#REF!,"AAAAAB//3yQ=")</f>
        <v>#REF!</v>
      </c>
      <c r="AL29" s="34" t="e">
        <f>AND(#REF!,"AAAAAB//3yU=")</f>
        <v>#REF!</v>
      </c>
      <c r="AM29" s="34" t="e">
        <f>AND(#REF!,"AAAAAB//3yY=")</f>
        <v>#REF!</v>
      </c>
      <c r="AN29" s="34" t="e">
        <f>AND(#REF!,"AAAAAB//3yc=")</f>
        <v>#REF!</v>
      </c>
      <c r="AO29" s="34" t="e">
        <f>AND(#REF!,"AAAAAB//3yg=")</f>
        <v>#REF!</v>
      </c>
      <c r="AP29" s="34" t="e">
        <f>AND(#REF!,"AAAAAB//3yk=")</f>
        <v>#REF!</v>
      </c>
      <c r="AQ29" s="34" t="e">
        <f>AND(#REF!,"AAAAAB//3yo=")</f>
        <v>#REF!</v>
      </c>
      <c r="AR29" s="34" t="e">
        <f>AND(#REF!,"AAAAAB//3ys=")</f>
        <v>#REF!</v>
      </c>
      <c r="AS29" s="34" t="e">
        <f>AND(#REF!,"AAAAAB//3yw=")</f>
        <v>#REF!</v>
      </c>
      <c r="AT29" s="34" t="e">
        <f>AND(#REF!,"AAAAAB//3y0=")</f>
        <v>#REF!</v>
      </c>
      <c r="AU29" s="34" t="e">
        <f>AND(#REF!,"AAAAAB//3y4=")</f>
        <v>#REF!</v>
      </c>
      <c r="AV29" s="34" t="e">
        <f>AND(#REF!,"AAAAAB//3y8=")</f>
        <v>#REF!</v>
      </c>
      <c r="AW29" s="34" t="e">
        <f>AND(#REF!,"AAAAAB//3zA=")</f>
        <v>#REF!</v>
      </c>
      <c r="AX29" s="34" t="e">
        <f>AND(#REF!,"AAAAAB//3zE=")</f>
        <v>#REF!</v>
      </c>
      <c r="AY29" s="34" t="e">
        <f>AND(#REF!,"AAAAAB//3zI=")</f>
        <v>#REF!</v>
      </c>
      <c r="AZ29" s="34" t="e">
        <f>AND(#REF!,"AAAAAB//3zM=")</f>
        <v>#REF!</v>
      </c>
      <c r="BA29" s="34" t="e">
        <f>AND(#REF!,"AAAAAB//3zQ=")</f>
        <v>#REF!</v>
      </c>
      <c r="BB29" s="34" t="e">
        <f>AND(#REF!,"AAAAAB//3zU=")</f>
        <v>#REF!</v>
      </c>
      <c r="BC29" s="34" t="e">
        <f>AND(#REF!,"AAAAAB//3zY=")</f>
        <v>#REF!</v>
      </c>
      <c r="BD29" s="34" t="e">
        <f>AND(#REF!,"AAAAAB//3zc=")</f>
        <v>#REF!</v>
      </c>
      <c r="BE29" s="34" t="e">
        <f>AND(#REF!,"AAAAAB//3zg=")</f>
        <v>#REF!</v>
      </c>
      <c r="BF29" s="34" t="e">
        <f>AND(#REF!,"AAAAAB//3zk=")</f>
        <v>#REF!</v>
      </c>
      <c r="BG29" s="34" t="e">
        <f>AND(#REF!,"AAAAAB//3zo=")</f>
        <v>#REF!</v>
      </c>
      <c r="BH29" s="34" t="e">
        <f>AND(#REF!,"AAAAAB//3zs=")</f>
        <v>#REF!</v>
      </c>
      <c r="BI29" s="34" t="e">
        <f>AND(#REF!,"AAAAAB//3zw=")</f>
        <v>#REF!</v>
      </c>
      <c r="BJ29" s="34" t="e">
        <f>AND(#REF!,"AAAAAB//3z0=")</f>
        <v>#REF!</v>
      </c>
      <c r="BK29" s="34" t="e">
        <f>AND(#REF!,"AAAAAB//3z4=")</f>
        <v>#REF!</v>
      </c>
      <c r="BL29" s="34" t="e">
        <f>AND(#REF!,"AAAAAB//3z8=")</f>
        <v>#REF!</v>
      </c>
      <c r="BM29" s="34" t="e">
        <f>AND(#REF!,"AAAAAB//30A=")</f>
        <v>#REF!</v>
      </c>
      <c r="BN29" s="34" t="e">
        <f>AND(#REF!,"AAAAAB//30E=")</f>
        <v>#REF!</v>
      </c>
      <c r="BO29" s="34" t="e">
        <f>AND(#REF!,"AAAAAB//30I=")</f>
        <v>#REF!</v>
      </c>
      <c r="BP29" s="34" t="e">
        <f>AND(#REF!,"AAAAAB//30M=")</f>
        <v>#REF!</v>
      </c>
      <c r="BQ29" s="34" t="e">
        <f>AND(#REF!,"AAAAAB//30Q=")</f>
        <v>#REF!</v>
      </c>
      <c r="BR29" s="34" t="e">
        <f>AND(#REF!,"AAAAAB//30U=")</f>
        <v>#REF!</v>
      </c>
      <c r="BS29" s="34" t="e">
        <f>AND(#REF!,"AAAAAB//30Y=")</f>
        <v>#REF!</v>
      </c>
      <c r="BT29" s="34" t="e">
        <f>AND(#REF!,"AAAAAB//30c=")</f>
        <v>#REF!</v>
      </c>
      <c r="BU29" s="34" t="e">
        <f>AND(#REF!,"AAAAAB//30g=")</f>
        <v>#REF!</v>
      </c>
      <c r="BV29" s="34" t="e">
        <f>AND(#REF!,"AAAAAB//30k=")</f>
        <v>#REF!</v>
      </c>
      <c r="BW29" s="34" t="e">
        <f>AND(#REF!,"AAAAAB//30o=")</f>
        <v>#REF!</v>
      </c>
      <c r="BX29" s="34" t="e">
        <f>AND(#REF!,"AAAAAB//30s=")</f>
        <v>#REF!</v>
      </c>
      <c r="BY29" s="34" t="e">
        <f>AND(#REF!,"AAAAAB//30w=")</f>
        <v>#REF!</v>
      </c>
      <c r="BZ29" s="34" t="e">
        <f>AND(#REF!,"AAAAAB//300=")</f>
        <v>#REF!</v>
      </c>
      <c r="CA29" s="34" t="e">
        <f>AND(#REF!,"AAAAAB//304=")</f>
        <v>#REF!</v>
      </c>
      <c r="CB29" s="34" t="e">
        <f>AND(#REF!,"AAAAAB//308=")</f>
        <v>#REF!</v>
      </c>
      <c r="CC29" s="34" t="e">
        <f>AND(#REF!,"AAAAAB//31A=")</f>
        <v>#REF!</v>
      </c>
      <c r="CD29" s="34" t="e">
        <f>AND(#REF!,"AAAAAB//31E=")</f>
        <v>#REF!</v>
      </c>
      <c r="CE29" s="34" t="e">
        <f>AND(#REF!,"AAAAAB//31I=")</f>
        <v>#REF!</v>
      </c>
      <c r="CF29" s="34" t="e">
        <f>AND(#REF!,"AAAAAB//31M=")</f>
        <v>#REF!</v>
      </c>
      <c r="CG29" s="34" t="e">
        <f>IF(#REF!,"AAAAAB//31Q=",0)</f>
        <v>#REF!</v>
      </c>
      <c r="CH29" s="34" t="e">
        <f>AND(#REF!,"AAAAAB//31U=")</f>
        <v>#REF!</v>
      </c>
      <c r="CI29" s="34" t="e">
        <f>AND(#REF!,"AAAAAB//31Y=")</f>
        <v>#REF!</v>
      </c>
      <c r="CJ29" s="34" t="e">
        <f>AND(#REF!,"AAAAAB//31c=")</f>
        <v>#REF!</v>
      </c>
      <c r="CK29" s="34" t="e">
        <f>AND(#REF!,"AAAAAB//31g=")</f>
        <v>#REF!</v>
      </c>
      <c r="CL29" s="34" t="e">
        <f>AND(#REF!,"AAAAAB//31k=")</f>
        <v>#REF!</v>
      </c>
      <c r="CM29" s="34" t="e">
        <f>AND(#REF!,"AAAAAB//31o=")</f>
        <v>#REF!</v>
      </c>
      <c r="CN29" s="34" t="e">
        <f>AND(#REF!,"AAAAAB//31s=")</f>
        <v>#REF!</v>
      </c>
      <c r="CO29" s="34" t="e">
        <f>AND(#REF!,"AAAAAB//31w=")</f>
        <v>#REF!</v>
      </c>
      <c r="CP29" s="34" t="e">
        <f>AND(#REF!,"AAAAAB//310=")</f>
        <v>#REF!</v>
      </c>
      <c r="CQ29" s="34" t="e">
        <f>AND(#REF!,"AAAAAB//314=")</f>
        <v>#REF!</v>
      </c>
      <c r="CR29" s="34" t="e">
        <f>AND(#REF!,"AAAAAB//318=")</f>
        <v>#REF!</v>
      </c>
      <c r="CS29" s="34" t="e">
        <f>AND(#REF!,"AAAAAB//32A=")</f>
        <v>#REF!</v>
      </c>
      <c r="CT29" s="34" t="e">
        <f>AND(#REF!,"AAAAAB//32E=")</f>
        <v>#REF!</v>
      </c>
      <c r="CU29" s="34" t="e">
        <f>AND(#REF!,"AAAAAB//32I=")</f>
        <v>#REF!</v>
      </c>
      <c r="CV29" s="34" t="e">
        <f>AND(#REF!,"AAAAAB//32M=")</f>
        <v>#REF!</v>
      </c>
      <c r="CW29" s="34" t="e">
        <f>AND(#REF!,"AAAAAB//32Q=")</f>
        <v>#REF!</v>
      </c>
      <c r="CX29" s="34" t="e">
        <f>AND(#REF!,"AAAAAB//32U=")</f>
        <v>#REF!</v>
      </c>
      <c r="CY29" s="34" t="e">
        <f>AND(#REF!,"AAAAAB//32Y=")</f>
        <v>#REF!</v>
      </c>
      <c r="CZ29" s="34" t="e">
        <f>AND(#REF!,"AAAAAB//32c=")</f>
        <v>#REF!</v>
      </c>
      <c r="DA29" s="34" t="e">
        <f>AND(#REF!,"AAAAAB//32g=")</f>
        <v>#REF!</v>
      </c>
      <c r="DB29" s="34" t="e">
        <f>AND(#REF!,"AAAAAB//32k=")</f>
        <v>#REF!</v>
      </c>
      <c r="DC29" s="34" t="e">
        <f>AND(#REF!,"AAAAAB//32o=")</f>
        <v>#REF!</v>
      </c>
      <c r="DD29" s="34" t="e">
        <f>AND(#REF!,"AAAAAB//32s=")</f>
        <v>#REF!</v>
      </c>
      <c r="DE29" s="34" t="e">
        <f>AND(#REF!,"AAAAAB//32w=")</f>
        <v>#REF!</v>
      </c>
      <c r="DF29" s="34" t="e">
        <f>AND(#REF!,"AAAAAB//320=")</f>
        <v>#REF!</v>
      </c>
      <c r="DG29" s="34" t="e">
        <f>AND(#REF!,"AAAAAB//324=")</f>
        <v>#REF!</v>
      </c>
      <c r="DH29" s="34" t="e">
        <f>AND(#REF!,"AAAAAB//328=")</f>
        <v>#REF!</v>
      </c>
      <c r="DI29" s="34" t="e">
        <f>AND(#REF!,"AAAAAB//33A=")</f>
        <v>#REF!</v>
      </c>
      <c r="DJ29" s="34" t="e">
        <f>AND(#REF!,"AAAAAB//33E=")</f>
        <v>#REF!</v>
      </c>
      <c r="DK29" s="34" t="e">
        <f>AND(#REF!,"AAAAAB//33I=")</f>
        <v>#REF!</v>
      </c>
      <c r="DL29" s="34" t="e">
        <f>AND(#REF!,"AAAAAB//33M=")</f>
        <v>#REF!</v>
      </c>
      <c r="DM29" s="34" t="e">
        <f>AND(#REF!,"AAAAAB//33Q=")</f>
        <v>#REF!</v>
      </c>
      <c r="DN29" s="34" t="e">
        <f>AND(#REF!,"AAAAAB//33U=")</f>
        <v>#REF!</v>
      </c>
      <c r="DO29" s="34" t="e">
        <f>AND(#REF!,"AAAAAB//33Y=")</f>
        <v>#REF!</v>
      </c>
      <c r="DP29" s="34" t="e">
        <f>AND(#REF!,"AAAAAB//33c=")</f>
        <v>#REF!</v>
      </c>
      <c r="DQ29" s="34" t="e">
        <f>AND(#REF!,"AAAAAB//33g=")</f>
        <v>#REF!</v>
      </c>
      <c r="DR29" s="34" t="e">
        <f>AND(#REF!,"AAAAAB//33k=")</f>
        <v>#REF!</v>
      </c>
      <c r="DS29" s="34" t="e">
        <f>AND(#REF!,"AAAAAB//33o=")</f>
        <v>#REF!</v>
      </c>
      <c r="DT29" s="34" t="e">
        <f>AND(#REF!,"AAAAAB//33s=")</f>
        <v>#REF!</v>
      </c>
      <c r="DU29" s="34" t="e">
        <f>AND(#REF!,"AAAAAB//33w=")</f>
        <v>#REF!</v>
      </c>
      <c r="DV29" s="34" t="e">
        <f>AND(#REF!,"AAAAAB//330=")</f>
        <v>#REF!</v>
      </c>
      <c r="DW29" s="34" t="e">
        <f>AND(#REF!,"AAAAAB//334=")</f>
        <v>#REF!</v>
      </c>
      <c r="DX29" s="34" t="e">
        <f>AND(#REF!,"AAAAAB//338=")</f>
        <v>#REF!</v>
      </c>
      <c r="DY29" s="34" t="e">
        <f>AND(#REF!,"AAAAAB//34A=")</f>
        <v>#REF!</v>
      </c>
      <c r="DZ29" s="34" t="e">
        <f>AND(#REF!,"AAAAAB//34E=")</f>
        <v>#REF!</v>
      </c>
      <c r="EA29" s="34" t="e">
        <f>AND(#REF!,"AAAAAB//34I=")</f>
        <v>#REF!</v>
      </c>
      <c r="EB29" s="34" t="e">
        <f>AND(#REF!,"AAAAAB//34M=")</f>
        <v>#REF!</v>
      </c>
      <c r="EC29" s="34" t="e">
        <f>AND(#REF!,"AAAAAB//34Q=")</f>
        <v>#REF!</v>
      </c>
      <c r="ED29" s="34" t="e">
        <f>AND(#REF!,"AAAAAB//34U=")</f>
        <v>#REF!</v>
      </c>
      <c r="EE29" s="34" t="e">
        <f>AND(#REF!,"AAAAAB//34Y=")</f>
        <v>#REF!</v>
      </c>
      <c r="EF29" s="34" t="e">
        <f>AND(#REF!,"AAAAAB//34c=")</f>
        <v>#REF!</v>
      </c>
      <c r="EG29" s="34" t="e">
        <f>AND(#REF!,"AAAAAB//34g=")</f>
        <v>#REF!</v>
      </c>
      <c r="EH29" s="34" t="e">
        <f>AND(#REF!,"AAAAAB//34k=")</f>
        <v>#REF!</v>
      </c>
      <c r="EI29" s="34" t="e">
        <f>AND(#REF!,"AAAAAB//34o=")</f>
        <v>#REF!</v>
      </c>
      <c r="EJ29" s="34" t="e">
        <f>AND(#REF!,"AAAAAB//34s=")</f>
        <v>#REF!</v>
      </c>
      <c r="EK29" s="34" t="e">
        <f>AND(#REF!,"AAAAAB//34w=")</f>
        <v>#REF!</v>
      </c>
      <c r="EL29" s="34" t="e">
        <f>AND(#REF!,"AAAAAB//340=")</f>
        <v>#REF!</v>
      </c>
      <c r="EM29" s="34" t="e">
        <f>AND(#REF!,"AAAAAB//344=")</f>
        <v>#REF!</v>
      </c>
      <c r="EN29" s="34" t="e">
        <f>AND(#REF!,"AAAAAB//348=")</f>
        <v>#REF!</v>
      </c>
      <c r="EO29" s="34" t="e">
        <f>AND(#REF!,"AAAAAB//35A=")</f>
        <v>#REF!</v>
      </c>
      <c r="EP29" s="34" t="e">
        <f>AND(#REF!,"AAAAAB//35E=")</f>
        <v>#REF!</v>
      </c>
      <c r="EQ29" s="34" t="e">
        <f>AND(#REF!,"AAAAAB//35I=")</f>
        <v>#REF!</v>
      </c>
      <c r="ER29" s="34" t="e">
        <f>AND(#REF!,"AAAAAB//35M=")</f>
        <v>#REF!</v>
      </c>
      <c r="ES29" s="34" t="e">
        <f>AND(#REF!,"AAAAAB//35Q=")</f>
        <v>#REF!</v>
      </c>
      <c r="ET29" s="34" t="e">
        <f>AND(#REF!,"AAAAAB//35U=")</f>
        <v>#REF!</v>
      </c>
      <c r="EU29" s="34" t="e">
        <f>AND(#REF!,"AAAAAB//35Y=")</f>
        <v>#REF!</v>
      </c>
      <c r="EV29" s="34" t="e">
        <f>AND(#REF!,"AAAAAB//35c=")</f>
        <v>#REF!</v>
      </c>
      <c r="EW29" s="34" t="e">
        <f>AND(#REF!,"AAAAAB//35g=")</f>
        <v>#REF!</v>
      </c>
      <c r="EX29" s="34" t="e">
        <f>AND(#REF!,"AAAAAB//35k=")</f>
        <v>#REF!</v>
      </c>
      <c r="EY29" s="34" t="e">
        <f>AND(#REF!,"AAAAAB//35o=")</f>
        <v>#REF!</v>
      </c>
      <c r="EZ29" s="34" t="e">
        <f>AND(#REF!,"AAAAAB//35s=")</f>
        <v>#REF!</v>
      </c>
      <c r="FA29" s="34" t="e">
        <f>AND(#REF!,"AAAAAB//35w=")</f>
        <v>#REF!</v>
      </c>
      <c r="FB29" s="34" t="e">
        <f>IF(#REF!,"AAAAAB//350=",0)</f>
        <v>#REF!</v>
      </c>
      <c r="FC29" s="34" t="e">
        <f>AND(#REF!,"AAAAAB//354=")</f>
        <v>#REF!</v>
      </c>
      <c r="FD29" s="34" t="e">
        <f>AND(#REF!,"AAAAAB//358=")</f>
        <v>#REF!</v>
      </c>
      <c r="FE29" s="34" t="e">
        <f>AND(#REF!,"AAAAAB//36A=")</f>
        <v>#REF!</v>
      </c>
      <c r="FF29" s="34" t="e">
        <f>AND(#REF!,"AAAAAB//36E=")</f>
        <v>#REF!</v>
      </c>
      <c r="FG29" s="34" t="e">
        <f>AND(#REF!,"AAAAAB//36I=")</f>
        <v>#REF!</v>
      </c>
      <c r="FH29" s="34" t="e">
        <f>AND(#REF!,"AAAAAB//36M=")</f>
        <v>#REF!</v>
      </c>
      <c r="FI29" s="34" t="e">
        <f>AND(#REF!,"AAAAAB//36Q=")</f>
        <v>#REF!</v>
      </c>
      <c r="FJ29" s="34" t="e">
        <f>AND(#REF!,"AAAAAB//36U=")</f>
        <v>#REF!</v>
      </c>
      <c r="FK29" s="34" t="e">
        <f>AND(#REF!,"AAAAAB//36Y=")</f>
        <v>#REF!</v>
      </c>
      <c r="FL29" s="34" t="e">
        <f>AND(#REF!,"AAAAAB//36c=")</f>
        <v>#REF!</v>
      </c>
      <c r="FM29" s="34" t="e">
        <f>AND(#REF!,"AAAAAB//36g=")</f>
        <v>#REF!</v>
      </c>
      <c r="FN29" s="34" t="e">
        <f>AND(#REF!,"AAAAAB//36k=")</f>
        <v>#REF!</v>
      </c>
      <c r="FO29" s="34" t="e">
        <f>AND(#REF!,"AAAAAB//36o=")</f>
        <v>#REF!</v>
      </c>
      <c r="FP29" s="34" t="e">
        <f>AND(#REF!,"AAAAAB//36s=")</f>
        <v>#REF!</v>
      </c>
      <c r="FQ29" s="34" t="e">
        <f>AND(#REF!,"AAAAAB//36w=")</f>
        <v>#REF!</v>
      </c>
      <c r="FR29" s="34" t="e">
        <f>AND(#REF!,"AAAAAB//360=")</f>
        <v>#REF!</v>
      </c>
      <c r="FS29" s="34" t="e">
        <f>AND(#REF!,"AAAAAB//364=")</f>
        <v>#REF!</v>
      </c>
      <c r="FT29" s="34" t="e">
        <f>AND(#REF!,"AAAAAB//368=")</f>
        <v>#REF!</v>
      </c>
      <c r="FU29" s="34" t="e">
        <f>AND(#REF!,"AAAAAB//37A=")</f>
        <v>#REF!</v>
      </c>
      <c r="FV29" s="34" t="e">
        <f>AND(#REF!,"AAAAAB//37E=")</f>
        <v>#REF!</v>
      </c>
      <c r="FW29" s="34" t="e">
        <f>AND(#REF!,"AAAAAB//37I=")</f>
        <v>#REF!</v>
      </c>
      <c r="FX29" s="34" t="e">
        <f>AND(#REF!,"AAAAAB//37M=")</f>
        <v>#REF!</v>
      </c>
      <c r="FY29" s="34" t="e">
        <f>AND(#REF!,"AAAAAB//37Q=")</f>
        <v>#REF!</v>
      </c>
      <c r="FZ29" s="34" t="e">
        <f>AND(#REF!,"AAAAAB//37U=")</f>
        <v>#REF!</v>
      </c>
      <c r="GA29" s="34" t="e">
        <f>AND(#REF!,"AAAAAB//37Y=")</f>
        <v>#REF!</v>
      </c>
      <c r="GB29" s="34" t="e">
        <f>AND(#REF!,"AAAAAB//37c=")</f>
        <v>#REF!</v>
      </c>
      <c r="GC29" s="34" t="e">
        <f>AND(#REF!,"AAAAAB//37g=")</f>
        <v>#REF!</v>
      </c>
      <c r="GD29" s="34" t="e">
        <f>AND(#REF!,"AAAAAB//37k=")</f>
        <v>#REF!</v>
      </c>
      <c r="GE29" s="34" t="e">
        <f>AND(#REF!,"AAAAAB//37o=")</f>
        <v>#REF!</v>
      </c>
      <c r="GF29" s="34" t="e">
        <f>AND(#REF!,"AAAAAB//37s=")</f>
        <v>#REF!</v>
      </c>
      <c r="GG29" s="34" t="e">
        <f>AND(#REF!,"AAAAAB//37w=")</f>
        <v>#REF!</v>
      </c>
      <c r="GH29" s="34" t="e">
        <f>AND(#REF!,"AAAAAB//370=")</f>
        <v>#REF!</v>
      </c>
      <c r="GI29" s="34" t="e">
        <f>AND(#REF!,"AAAAAB//374=")</f>
        <v>#REF!</v>
      </c>
      <c r="GJ29" s="34" t="e">
        <f>AND(#REF!,"AAAAAB//378=")</f>
        <v>#REF!</v>
      </c>
      <c r="GK29" s="34" t="e">
        <f>AND(#REF!,"AAAAAB//38A=")</f>
        <v>#REF!</v>
      </c>
      <c r="GL29" s="34" t="e">
        <f>AND(#REF!,"AAAAAB//38E=")</f>
        <v>#REF!</v>
      </c>
      <c r="GM29" s="34" t="e">
        <f>AND(#REF!,"AAAAAB//38I=")</f>
        <v>#REF!</v>
      </c>
      <c r="GN29" s="34" t="e">
        <f>AND(#REF!,"AAAAAB//38M=")</f>
        <v>#REF!</v>
      </c>
      <c r="GO29" s="34" t="e">
        <f>AND(#REF!,"AAAAAB//38Q=")</f>
        <v>#REF!</v>
      </c>
      <c r="GP29" s="34" t="e">
        <f>AND(#REF!,"AAAAAB//38U=")</f>
        <v>#REF!</v>
      </c>
      <c r="GQ29" s="34" t="e">
        <f>AND(#REF!,"AAAAAB//38Y=")</f>
        <v>#REF!</v>
      </c>
      <c r="GR29" s="34" t="e">
        <f>AND(#REF!,"AAAAAB//38c=")</f>
        <v>#REF!</v>
      </c>
      <c r="GS29" s="34" t="e">
        <f>AND(#REF!,"AAAAAB//38g=")</f>
        <v>#REF!</v>
      </c>
      <c r="GT29" s="34" t="e">
        <f>AND(#REF!,"AAAAAB//38k=")</f>
        <v>#REF!</v>
      </c>
      <c r="GU29" s="34" t="e">
        <f>AND(#REF!,"AAAAAB//38o=")</f>
        <v>#REF!</v>
      </c>
      <c r="GV29" s="34" t="e">
        <f>AND(#REF!,"AAAAAB//38s=")</f>
        <v>#REF!</v>
      </c>
      <c r="GW29" s="34" t="e">
        <f>AND(#REF!,"AAAAAB//38w=")</f>
        <v>#REF!</v>
      </c>
      <c r="GX29" s="34" t="e">
        <f>AND(#REF!,"AAAAAB//380=")</f>
        <v>#REF!</v>
      </c>
      <c r="GY29" s="34" t="e">
        <f>AND(#REF!,"AAAAAB//384=")</f>
        <v>#REF!</v>
      </c>
      <c r="GZ29" s="34" t="e">
        <f>AND(#REF!,"AAAAAB//388=")</f>
        <v>#REF!</v>
      </c>
      <c r="HA29" s="34" t="e">
        <f>AND(#REF!,"AAAAAB//39A=")</f>
        <v>#REF!</v>
      </c>
      <c r="HB29" s="34" t="e">
        <f>AND(#REF!,"AAAAAB//39E=")</f>
        <v>#REF!</v>
      </c>
      <c r="HC29" s="34" t="e">
        <f>AND(#REF!,"AAAAAB//39I=")</f>
        <v>#REF!</v>
      </c>
      <c r="HD29" s="34" t="e">
        <f>AND(#REF!,"AAAAAB//39M=")</f>
        <v>#REF!</v>
      </c>
      <c r="HE29" s="34" t="e">
        <f>AND(#REF!,"AAAAAB//39Q=")</f>
        <v>#REF!</v>
      </c>
      <c r="HF29" s="34" t="e">
        <f>AND(#REF!,"AAAAAB//39U=")</f>
        <v>#REF!</v>
      </c>
      <c r="HG29" s="34" t="e">
        <f>AND(#REF!,"AAAAAB//39Y=")</f>
        <v>#REF!</v>
      </c>
      <c r="HH29" s="34" t="e">
        <f>AND(#REF!,"AAAAAB//39c=")</f>
        <v>#REF!</v>
      </c>
      <c r="HI29" s="34" t="e">
        <f>AND(#REF!,"AAAAAB//39g=")</f>
        <v>#REF!</v>
      </c>
      <c r="HJ29" s="34" t="e">
        <f>AND(#REF!,"AAAAAB//39k=")</f>
        <v>#REF!</v>
      </c>
      <c r="HK29" s="34" t="e">
        <f>AND(#REF!,"AAAAAB//39o=")</f>
        <v>#REF!</v>
      </c>
      <c r="HL29" s="34" t="e">
        <f>AND(#REF!,"AAAAAB//39s=")</f>
        <v>#REF!</v>
      </c>
      <c r="HM29" s="34" t="e">
        <f>AND(#REF!,"AAAAAB//39w=")</f>
        <v>#REF!</v>
      </c>
      <c r="HN29" s="34" t="e">
        <f>AND(#REF!,"AAAAAB//390=")</f>
        <v>#REF!</v>
      </c>
      <c r="HO29" s="34" t="e">
        <f>AND(#REF!,"AAAAAB//394=")</f>
        <v>#REF!</v>
      </c>
      <c r="HP29" s="34" t="e">
        <f>AND(#REF!,"AAAAAB//398=")</f>
        <v>#REF!</v>
      </c>
      <c r="HQ29" s="34" t="e">
        <f>AND(#REF!,"AAAAAB//3+A=")</f>
        <v>#REF!</v>
      </c>
      <c r="HR29" s="34" t="e">
        <f>AND(#REF!,"AAAAAB//3+E=")</f>
        <v>#REF!</v>
      </c>
      <c r="HS29" s="34" t="e">
        <f>AND(#REF!,"AAAAAB//3+I=")</f>
        <v>#REF!</v>
      </c>
      <c r="HT29" s="34" t="e">
        <f>AND(#REF!,"AAAAAB//3+M=")</f>
        <v>#REF!</v>
      </c>
      <c r="HU29" s="34" t="e">
        <f>AND(#REF!,"AAAAAB//3+Q=")</f>
        <v>#REF!</v>
      </c>
      <c r="HV29" s="34" t="e">
        <f>AND(#REF!,"AAAAAB//3+U=")</f>
        <v>#REF!</v>
      </c>
      <c r="HW29" s="34" t="e">
        <f>IF(#REF!,"AAAAAB//3+Y=",0)</f>
        <v>#REF!</v>
      </c>
      <c r="HX29" s="34" t="e">
        <f>AND(#REF!,"AAAAAB//3+c=")</f>
        <v>#REF!</v>
      </c>
      <c r="HY29" s="34" t="e">
        <f>AND(#REF!,"AAAAAB//3+g=")</f>
        <v>#REF!</v>
      </c>
      <c r="HZ29" s="34" t="e">
        <f>AND(#REF!,"AAAAAB//3+k=")</f>
        <v>#REF!</v>
      </c>
      <c r="IA29" s="34" t="e">
        <f>AND(#REF!,"AAAAAB//3+o=")</f>
        <v>#REF!</v>
      </c>
      <c r="IB29" s="34" t="e">
        <f>AND(#REF!,"AAAAAB//3+s=")</f>
        <v>#REF!</v>
      </c>
      <c r="IC29" s="34" t="e">
        <f>AND(#REF!,"AAAAAB//3+w=")</f>
        <v>#REF!</v>
      </c>
      <c r="ID29" s="34" t="e">
        <f>AND(#REF!,"AAAAAB//3+0=")</f>
        <v>#REF!</v>
      </c>
      <c r="IE29" s="34" t="e">
        <f>AND(#REF!,"AAAAAB//3+4=")</f>
        <v>#REF!</v>
      </c>
      <c r="IF29" s="34" t="e">
        <f>AND(#REF!,"AAAAAB//3+8=")</f>
        <v>#REF!</v>
      </c>
      <c r="IG29" s="34" t="e">
        <f>AND(#REF!,"AAAAAB//3/A=")</f>
        <v>#REF!</v>
      </c>
      <c r="IH29" s="34" t="e">
        <f>AND(#REF!,"AAAAAB//3/E=")</f>
        <v>#REF!</v>
      </c>
      <c r="II29" s="34" t="e">
        <f>AND(#REF!,"AAAAAB//3/I=")</f>
        <v>#REF!</v>
      </c>
      <c r="IJ29" s="34" t="e">
        <f>AND(#REF!,"AAAAAB//3/M=")</f>
        <v>#REF!</v>
      </c>
      <c r="IK29" s="34" t="e">
        <f>AND(#REF!,"AAAAAB//3/Q=")</f>
        <v>#REF!</v>
      </c>
      <c r="IL29" s="34" t="e">
        <f>AND(#REF!,"AAAAAB//3/U=")</f>
        <v>#REF!</v>
      </c>
      <c r="IM29" s="34" t="e">
        <f>AND(#REF!,"AAAAAB//3/Y=")</f>
        <v>#REF!</v>
      </c>
      <c r="IN29" s="34" t="e">
        <f>AND(#REF!,"AAAAAB//3/c=")</f>
        <v>#REF!</v>
      </c>
      <c r="IO29" s="34" t="e">
        <f>AND(#REF!,"AAAAAB//3/g=")</f>
        <v>#REF!</v>
      </c>
      <c r="IP29" s="34" t="e">
        <f>AND(#REF!,"AAAAAB//3/k=")</f>
        <v>#REF!</v>
      </c>
      <c r="IQ29" s="34" t="e">
        <f>AND(#REF!,"AAAAAB//3/o=")</f>
        <v>#REF!</v>
      </c>
      <c r="IR29" s="34" t="e">
        <f>AND(#REF!,"AAAAAB//3/s=")</f>
        <v>#REF!</v>
      </c>
      <c r="IS29" s="34" t="e">
        <f>AND(#REF!,"AAAAAB//3/w=")</f>
        <v>#REF!</v>
      </c>
      <c r="IT29" s="34" t="e">
        <f>AND(#REF!,"AAAAAB//3/0=")</f>
        <v>#REF!</v>
      </c>
      <c r="IU29" s="34" t="e">
        <f>AND(#REF!,"AAAAAB//3/4=")</f>
        <v>#REF!</v>
      </c>
      <c r="IV29" s="34" t="e">
        <f>AND(#REF!,"AAAAAB//3/8=")</f>
        <v>#REF!</v>
      </c>
    </row>
    <row r="30" spans="1:256" ht="12.75" customHeight="1" x14ac:dyDescent="0.2">
      <c r="A30" s="34" t="e">
        <f>AND(#REF!,"AAAAAFr7cwA=")</f>
        <v>#REF!</v>
      </c>
      <c r="B30" s="34" t="e">
        <f>AND(#REF!,"AAAAAFr7cwE=")</f>
        <v>#REF!</v>
      </c>
      <c r="C30" s="34" t="e">
        <f>AND(#REF!,"AAAAAFr7cwI=")</f>
        <v>#REF!</v>
      </c>
      <c r="D30" s="34" t="e">
        <f>AND(#REF!,"AAAAAFr7cwM=")</f>
        <v>#REF!</v>
      </c>
      <c r="E30" s="34" t="e">
        <f>AND(#REF!,"AAAAAFr7cwQ=")</f>
        <v>#REF!</v>
      </c>
      <c r="F30" s="34" t="e">
        <f>AND(#REF!,"AAAAAFr7cwU=")</f>
        <v>#REF!</v>
      </c>
      <c r="G30" s="34" t="e">
        <f>AND(#REF!,"AAAAAFr7cwY=")</f>
        <v>#REF!</v>
      </c>
      <c r="H30" s="34" t="e">
        <f>AND(#REF!,"AAAAAFr7cwc=")</f>
        <v>#REF!</v>
      </c>
      <c r="I30" s="34" t="e">
        <f>AND(#REF!,"AAAAAFr7cwg=")</f>
        <v>#REF!</v>
      </c>
      <c r="J30" s="34" t="e">
        <f>AND(#REF!,"AAAAAFr7cwk=")</f>
        <v>#REF!</v>
      </c>
      <c r="K30" s="34" t="e">
        <f>AND(#REF!,"AAAAAFr7cwo=")</f>
        <v>#REF!</v>
      </c>
      <c r="L30" s="34" t="e">
        <f>AND(#REF!,"AAAAAFr7cws=")</f>
        <v>#REF!</v>
      </c>
      <c r="M30" s="34" t="e">
        <f>AND(#REF!,"AAAAAFr7cww=")</f>
        <v>#REF!</v>
      </c>
      <c r="N30" s="34" t="e">
        <f>AND(#REF!,"AAAAAFr7cw0=")</f>
        <v>#REF!</v>
      </c>
      <c r="O30" s="34" t="e">
        <f>AND(#REF!,"AAAAAFr7cw4=")</f>
        <v>#REF!</v>
      </c>
      <c r="P30" s="34" t="e">
        <f>AND(#REF!,"AAAAAFr7cw8=")</f>
        <v>#REF!</v>
      </c>
      <c r="Q30" s="34" t="e">
        <f>AND(#REF!,"AAAAAFr7cxA=")</f>
        <v>#REF!</v>
      </c>
      <c r="R30" s="34" t="e">
        <f>AND(#REF!,"AAAAAFr7cxE=")</f>
        <v>#REF!</v>
      </c>
      <c r="S30" s="34" t="e">
        <f>AND(#REF!,"AAAAAFr7cxI=")</f>
        <v>#REF!</v>
      </c>
      <c r="T30" s="34" t="e">
        <f>AND(#REF!,"AAAAAFr7cxM=")</f>
        <v>#REF!</v>
      </c>
      <c r="U30" s="34" t="e">
        <f>AND(#REF!,"AAAAAFr7cxQ=")</f>
        <v>#REF!</v>
      </c>
      <c r="V30" s="34" t="e">
        <f>AND(#REF!,"AAAAAFr7cxU=")</f>
        <v>#REF!</v>
      </c>
      <c r="W30" s="34" t="e">
        <f>AND(#REF!,"AAAAAFr7cxY=")</f>
        <v>#REF!</v>
      </c>
      <c r="X30" s="34" t="e">
        <f>AND(#REF!,"AAAAAFr7cxc=")</f>
        <v>#REF!</v>
      </c>
      <c r="Y30" s="34" t="e">
        <f>AND(#REF!,"AAAAAFr7cxg=")</f>
        <v>#REF!</v>
      </c>
      <c r="Z30" s="34" t="e">
        <f>AND(#REF!,"AAAAAFr7cxk=")</f>
        <v>#REF!</v>
      </c>
      <c r="AA30" s="34" t="e">
        <f>AND(#REF!,"AAAAAFr7cxo=")</f>
        <v>#REF!</v>
      </c>
      <c r="AB30" s="34" t="e">
        <f>AND(#REF!,"AAAAAFr7cxs=")</f>
        <v>#REF!</v>
      </c>
      <c r="AC30" s="34" t="e">
        <f>AND(#REF!,"AAAAAFr7cxw=")</f>
        <v>#REF!</v>
      </c>
      <c r="AD30" s="34" t="e">
        <f>AND(#REF!,"AAAAAFr7cx0=")</f>
        <v>#REF!</v>
      </c>
      <c r="AE30" s="34" t="e">
        <f>AND(#REF!,"AAAAAFr7cx4=")</f>
        <v>#REF!</v>
      </c>
      <c r="AF30" s="34" t="e">
        <f>AND(#REF!,"AAAAAFr7cx8=")</f>
        <v>#REF!</v>
      </c>
      <c r="AG30" s="34" t="e">
        <f>AND(#REF!,"AAAAAFr7cyA=")</f>
        <v>#REF!</v>
      </c>
      <c r="AH30" s="34" t="e">
        <f>AND(#REF!,"AAAAAFr7cyE=")</f>
        <v>#REF!</v>
      </c>
      <c r="AI30" s="34" t="e">
        <f>AND(#REF!,"AAAAAFr7cyI=")</f>
        <v>#REF!</v>
      </c>
      <c r="AJ30" s="34" t="e">
        <f>AND(#REF!,"AAAAAFr7cyM=")</f>
        <v>#REF!</v>
      </c>
      <c r="AK30" s="34" t="e">
        <f>AND(#REF!,"AAAAAFr7cyQ=")</f>
        <v>#REF!</v>
      </c>
      <c r="AL30" s="34" t="e">
        <f>AND(#REF!,"AAAAAFr7cyU=")</f>
        <v>#REF!</v>
      </c>
      <c r="AM30" s="34" t="e">
        <f>AND(#REF!,"AAAAAFr7cyY=")</f>
        <v>#REF!</v>
      </c>
      <c r="AN30" s="34" t="e">
        <f>AND(#REF!,"AAAAAFr7cyc=")</f>
        <v>#REF!</v>
      </c>
      <c r="AO30" s="34" t="e">
        <f>AND(#REF!,"AAAAAFr7cyg=")</f>
        <v>#REF!</v>
      </c>
      <c r="AP30" s="34" t="e">
        <f>AND(#REF!,"AAAAAFr7cyk=")</f>
        <v>#REF!</v>
      </c>
      <c r="AQ30" s="34" t="e">
        <f>AND(#REF!,"AAAAAFr7cyo=")</f>
        <v>#REF!</v>
      </c>
      <c r="AR30" s="34" t="e">
        <f>AND(#REF!,"AAAAAFr7cys=")</f>
        <v>#REF!</v>
      </c>
      <c r="AS30" s="34" t="e">
        <f>AND(#REF!,"AAAAAFr7cyw=")</f>
        <v>#REF!</v>
      </c>
      <c r="AT30" s="34" t="e">
        <f>AND(#REF!,"AAAAAFr7cy0=")</f>
        <v>#REF!</v>
      </c>
      <c r="AU30" s="34" t="e">
        <f>AND(#REF!,"AAAAAFr7cy4=")</f>
        <v>#REF!</v>
      </c>
      <c r="AV30" s="34" t="e">
        <f>IF(#REF!,"AAAAAFr7cy8=",0)</f>
        <v>#REF!</v>
      </c>
      <c r="AW30" s="34" t="e">
        <f>AND(#REF!,"AAAAAFr7czA=")</f>
        <v>#REF!</v>
      </c>
      <c r="AX30" s="34" t="e">
        <f>AND(#REF!,"AAAAAFr7czE=")</f>
        <v>#REF!</v>
      </c>
      <c r="AY30" s="34" t="e">
        <f>AND(#REF!,"AAAAAFr7czI=")</f>
        <v>#REF!</v>
      </c>
      <c r="AZ30" s="34" t="e">
        <f>AND(#REF!,"AAAAAFr7czM=")</f>
        <v>#REF!</v>
      </c>
      <c r="BA30" s="34" t="e">
        <f>AND(#REF!,"AAAAAFr7czQ=")</f>
        <v>#REF!</v>
      </c>
      <c r="BB30" s="34" t="e">
        <f>AND(#REF!,"AAAAAFr7czU=")</f>
        <v>#REF!</v>
      </c>
      <c r="BC30" s="34" t="e">
        <f>AND(#REF!,"AAAAAFr7czY=")</f>
        <v>#REF!</v>
      </c>
      <c r="BD30" s="34" t="e">
        <f>AND(#REF!,"AAAAAFr7czc=")</f>
        <v>#REF!</v>
      </c>
      <c r="BE30" s="34" t="e">
        <f>AND(#REF!,"AAAAAFr7czg=")</f>
        <v>#REF!</v>
      </c>
      <c r="BF30" s="34" t="e">
        <f>AND(#REF!,"AAAAAFr7czk=")</f>
        <v>#REF!</v>
      </c>
      <c r="BG30" s="34" t="e">
        <f>AND(#REF!,"AAAAAFr7czo=")</f>
        <v>#REF!</v>
      </c>
      <c r="BH30" s="34" t="e">
        <f>AND(#REF!,"AAAAAFr7czs=")</f>
        <v>#REF!</v>
      </c>
      <c r="BI30" s="34" t="e">
        <f>AND(#REF!,"AAAAAFr7czw=")</f>
        <v>#REF!</v>
      </c>
      <c r="BJ30" s="34" t="e">
        <f>AND(#REF!,"AAAAAFr7cz0=")</f>
        <v>#REF!</v>
      </c>
      <c r="BK30" s="34" t="e">
        <f>AND(#REF!,"AAAAAFr7cz4=")</f>
        <v>#REF!</v>
      </c>
      <c r="BL30" s="34" t="e">
        <f>AND(#REF!,"AAAAAFr7cz8=")</f>
        <v>#REF!</v>
      </c>
      <c r="BM30" s="34" t="e">
        <f>AND(#REF!,"AAAAAFr7c0A=")</f>
        <v>#REF!</v>
      </c>
      <c r="BN30" s="34" t="e">
        <f>AND(#REF!,"AAAAAFr7c0E=")</f>
        <v>#REF!</v>
      </c>
      <c r="BO30" s="34" t="e">
        <f>AND(#REF!,"AAAAAFr7c0I=")</f>
        <v>#REF!</v>
      </c>
      <c r="BP30" s="34" t="e">
        <f>AND(#REF!,"AAAAAFr7c0M=")</f>
        <v>#REF!</v>
      </c>
      <c r="BQ30" s="34" t="e">
        <f>AND(#REF!,"AAAAAFr7c0Q=")</f>
        <v>#REF!</v>
      </c>
      <c r="BR30" s="34" t="e">
        <f>AND(#REF!,"AAAAAFr7c0U=")</f>
        <v>#REF!</v>
      </c>
      <c r="BS30" s="34" t="e">
        <f>AND(#REF!,"AAAAAFr7c0Y=")</f>
        <v>#REF!</v>
      </c>
      <c r="BT30" s="34" t="e">
        <f>AND(#REF!,"AAAAAFr7c0c=")</f>
        <v>#REF!</v>
      </c>
      <c r="BU30" s="34" t="e">
        <f>AND(#REF!,"AAAAAFr7c0g=")</f>
        <v>#REF!</v>
      </c>
      <c r="BV30" s="34" t="e">
        <f>AND(#REF!,"AAAAAFr7c0k=")</f>
        <v>#REF!</v>
      </c>
      <c r="BW30" s="34" t="e">
        <f>AND(#REF!,"AAAAAFr7c0o=")</f>
        <v>#REF!</v>
      </c>
      <c r="BX30" s="34" t="e">
        <f>AND(#REF!,"AAAAAFr7c0s=")</f>
        <v>#REF!</v>
      </c>
      <c r="BY30" s="34" t="e">
        <f>AND(#REF!,"AAAAAFr7c0w=")</f>
        <v>#REF!</v>
      </c>
      <c r="BZ30" s="34" t="e">
        <f>AND(#REF!,"AAAAAFr7c00=")</f>
        <v>#REF!</v>
      </c>
      <c r="CA30" s="34" t="e">
        <f>AND(#REF!,"AAAAAFr7c04=")</f>
        <v>#REF!</v>
      </c>
      <c r="CB30" s="34" t="e">
        <f>AND(#REF!,"AAAAAFr7c08=")</f>
        <v>#REF!</v>
      </c>
      <c r="CC30" s="34" t="e">
        <f>AND(#REF!,"AAAAAFr7c1A=")</f>
        <v>#REF!</v>
      </c>
      <c r="CD30" s="34" t="e">
        <f>AND(#REF!,"AAAAAFr7c1E=")</f>
        <v>#REF!</v>
      </c>
      <c r="CE30" s="34" t="e">
        <f>AND(#REF!,"AAAAAFr7c1I=")</f>
        <v>#REF!</v>
      </c>
      <c r="CF30" s="34" t="e">
        <f>AND(#REF!,"AAAAAFr7c1M=")</f>
        <v>#REF!</v>
      </c>
      <c r="CG30" s="34" t="e">
        <f>AND(#REF!,"AAAAAFr7c1Q=")</f>
        <v>#REF!</v>
      </c>
      <c r="CH30" s="34" t="e">
        <f>AND(#REF!,"AAAAAFr7c1U=")</f>
        <v>#REF!</v>
      </c>
      <c r="CI30" s="34" t="e">
        <f>AND(#REF!,"AAAAAFr7c1Y=")</f>
        <v>#REF!</v>
      </c>
      <c r="CJ30" s="34" t="e">
        <f>AND(#REF!,"AAAAAFr7c1c=")</f>
        <v>#REF!</v>
      </c>
      <c r="CK30" s="34" t="e">
        <f>AND(#REF!,"AAAAAFr7c1g=")</f>
        <v>#REF!</v>
      </c>
      <c r="CL30" s="34" t="e">
        <f>AND(#REF!,"AAAAAFr7c1k=")</f>
        <v>#REF!</v>
      </c>
      <c r="CM30" s="34" t="e">
        <f>AND(#REF!,"AAAAAFr7c1o=")</f>
        <v>#REF!</v>
      </c>
      <c r="CN30" s="34" t="e">
        <f>AND(#REF!,"AAAAAFr7c1s=")</f>
        <v>#REF!</v>
      </c>
      <c r="CO30" s="34" t="e">
        <f>AND(#REF!,"AAAAAFr7c1w=")</f>
        <v>#REF!</v>
      </c>
      <c r="CP30" s="34" t="e">
        <f>AND(#REF!,"AAAAAFr7c10=")</f>
        <v>#REF!</v>
      </c>
      <c r="CQ30" s="34" t="e">
        <f>AND(#REF!,"AAAAAFr7c14=")</f>
        <v>#REF!</v>
      </c>
      <c r="CR30" s="34" t="e">
        <f>AND(#REF!,"AAAAAFr7c18=")</f>
        <v>#REF!</v>
      </c>
      <c r="CS30" s="34" t="e">
        <f>AND(#REF!,"AAAAAFr7c2A=")</f>
        <v>#REF!</v>
      </c>
      <c r="CT30" s="34" t="e">
        <f>AND(#REF!,"AAAAAFr7c2E=")</f>
        <v>#REF!</v>
      </c>
      <c r="CU30" s="34" t="e">
        <f>AND(#REF!,"AAAAAFr7c2I=")</f>
        <v>#REF!</v>
      </c>
      <c r="CV30" s="34" t="e">
        <f>AND(#REF!,"AAAAAFr7c2M=")</f>
        <v>#REF!</v>
      </c>
      <c r="CW30" s="34" t="e">
        <f>AND(#REF!,"AAAAAFr7c2Q=")</f>
        <v>#REF!</v>
      </c>
      <c r="CX30" s="34" t="e">
        <f>AND(#REF!,"AAAAAFr7c2U=")</f>
        <v>#REF!</v>
      </c>
      <c r="CY30" s="34" t="e">
        <f>AND(#REF!,"AAAAAFr7c2Y=")</f>
        <v>#REF!</v>
      </c>
      <c r="CZ30" s="34" t="e">
        <f>AND(#REF!,"AAAAAFr7c2c=")</f>
        <v>#REF!</v>
      </c>
      <c r="DA30" s="34" t="e">
        <f>AND(#REF!,"AAAAAFr7c2g=")</f>
        <v>#REF!</v>
      </c>
      <c r="DB30" s="34" t="e">
        <f>AND(#REF!,"AAAAAFr7c2k=")</f>
        <v>#REF!</v>
      </c>
      <c r="DC30" s="34" t="e">
        <f>AND(#REF!,"AAAAAFr7c2o=")</f>
        <v>#REF!</v>
      </c>
      <c r="DD30" s="34" t="e">
        <f>AND(#REF!,"AAAAAFr7c2s=")</f>
        <v>#REF!</v>
      </c>
      <c r="DE30" s="34" t="e">
        <f>AND(#REF!,"AAAAAFr7c2w=")</f>
        <v>#REF!</v>
      </c>
      <c r="DF30" s="34" t="e">
        <f>AND(#REF!,"AAAAAFr7c20=")</f>
        <v>#REF!</v>
      </c>
      <c r="DG30" s="34" t="e">
        <f>AND(#REF!,"AAAAAFr7c24=")</f>
        <v>#REF!</v>
      </c>
      <c r="DH30" s="34" t="e">
        <f>AND(#REF!,"AAAAAFr7c28=")</f>
        <v>#REF!</v>
      </c>
      <c r="DI30" s="34" t="e">
        <f>AND(#REF!,"AAAAAFr7c3A=")</f>
        <v>#REF!</v>
      </c>
      <c r="DJ30" s="34" t="e">
        <f>AND(#REF!,"AAAAAFr7c3E=")</f>
        <v>#REF!</v>
      </c>
      <c r="DK30" s="34" t="e">
        <f>AND(#REF!,"AAAAAFr7c3I=")</f>
        <v>#REF!</v>
      </c>
      <c r="DL30" s="34" t="e">
        <f>AND(#REF!,"AAAAAFr7c3M=")</f>
        <v>#REF!</v>
      </c>
      <c r="DM30" s="34" t="e">
        <f>AND(#REF!,"AAAAAFr7c3Q=")</f>
        <v>#REF!</v>
      </c>
      <c r="DN30" s="34" t="e">
        <f>AND(#REF!,"AAAAAFr7c3U=")</f>
        <v>#REF!</v>
      </c>
      <c r="DO30" s="34" t="e">
        <f>AND(#REF!,"AAAAAFr7c3Y=")</f>
        <v>#REF!</v>
      </c>
      <c r="DP30" s="34" t="e">
        <f>AND(#REF!,"AAAAAFr7c3c=")</f>
        <v>#REF!</v>
      </c>
      <c r="DQ30" s="34" t="e">
        <f>IF(#REF!,"AAAAAFr7c3g=",0)</f>
        <v>#REF!</v>
      </c>
      <c r="DR30" s="34" t="e">
        <f>AND(#REF!,"AAAAAFr7c3k=")</f>
        <v>#REF!</v>
      </c>
      <c r="DS30" s="34" t="e">
        <f>AND(#REF!,"AAAAAFr7c3o=")</f>
        <v>#REF!</v>
      </c>
      <c r="DT30" s="34" t="e">
        <f>AND(#REF!,"AAAAAFr7c3s=")</f>
        <v>#REF!</v>
      </c>
      <c r="DU30" s="34" t="e">
        <f>AND(#REF!,"AAAAAFr7c3w=")</f>
        <v>#REF!</v>
      </c>
      <c r="DV30" s="34" t="e">
        <f>AND(#REF!,"AAAAAFr7c30=")</f>
        <v>#REF!</v>
      </c>
      <c r="DW30" s="34" t="e">
        <f>AND(#REF!,"AAAAAFr7c34=")</f>
        <v>#REF!</v>
      </c>
      <c r="DX30" s="34" t="e">
        <f>AND(#REF!,"AAAAAFr7c38=")</f>
        <v>#REF!</v>
      </c>
      <c r="DY30" s="34" t="e">
        <f>AND(#REF!,"AAAAAFr7c4A=")</f>
        <v>#REF!</v>
      </c>
      <c r="DZ30" s="34" t="e">
        <f>AND(#REF!,"AAAAAFr7c4E=")</f>
        <v>#REF!</v>
      </c>
      <c r="EA30" s="34" t="e">
        <f>AND(#REF!,"AAAAAFr7c4I=")</f>
        <v>#REF!</v>
      </c>
      <c r="EB30" s="34" t="e">
        <f>AND(#REF!,"AAAAAFr7c4M=")</f>
        <v>#REF!</v>
      </c>
      <c r="EC30" s="34" t="e">
        <f>AND(#REF!,"AAAAAFr7c4Q=")</f>
        <v>#REF!</v>
      </c>
      <c r="ED30" s="34" t="e">
        <f>AND(#REF!,"AAAAAFr7c4U=")</f>
        <v>#REF!</v>
      </c>
      <c r="EE30" s="34" t="e">
        <f>AND(#REF!,"AAAAAFr7c4Y=")</f>
        <v>#REF!</v>
      </c>
      <c r="EF30" s="34" t="e">
        <f>AND(#REF!,"AAAAAFr7c4c=")</f>
        <v>#REF!</v>
      </c>
      <c r="EG30" s="34" t="e">
        <f>AND(#REF!,"AAAAAFr7c4g=")</f>
        <v>#REF!</v>
      </c>
      <c r="EH30" s="34" t="e">
        <f>AND(#REF!,"AAAAAFr7c4k=")</f>
        <v>#REF!</v>
      </c>
      <c r="EI30" s="34" t="e">
        <f>AND(#REF!,"AAAAAFr7c4o=")</f>
        <v>#REF!</v>
      </c>
      <c r="EJ30" s="34" t="e">
        <f>AND(#REF!,"AAAAAFr7c4s=")</f>
        <v>#REF!</v>
      </c>
      <c r="EK30" s="34" t="e">
        <f>AND(#REF!,"AAAAAFr7c4w=")</f>
        <v>#REF!</v>
      </c>
      <c r="EL30" s="34" t="e">
        <f>AND(#REF!,"AAAAAFr7c40=")</f>
        <v>#REF!</v>
      </c>
      <c r="EM30" s="34" t="e">
        <f>AND(#REF!,"AAAAAFr7c44=")</f>
        <v>#REF!</v>
      </c>
      <c r="EN30" s="34" t="e">
        <f>AND(#REF!,"AAAAAFr7c48=")</f>
        <v>#REF!</v>
      </c>
      <c r="EO30" s="34" t="e">
        <f>AND(#REF!,"AAAAAFr7c5A=")</f>
        <v>#REF!</v>
      </c>
      <c r="EP30" s="34" t="e">
        <f>AND(#REF!,"AAAAAFr7c5E=")</f>
        <v>#REF!</v>
      </c>
      <c r="EQ30" s="34" t="e">
        <f>AND(#REF!,"AAAAAFr7c5I=")</f>
        <v>#REF!</v>
      </c>
      <c r="ER30" s="34" t="e">
        <f>AND(#REF!,"AAAAAFr7c5M=")</f>
        <v>#REF!</v>
      </c>
      <c r="ES30" s="34" t="e">
        <f>AND(#REF!,"AAAAAFr7c5Q=")</f>
        <v>#REF!</v>
      </c>
      <c r="ET30" s="34" t="e">
        <f>AND(#REF!,"AAAAAFr7c5U=")</f>
        <v>#REF!</v>
      </c>
      <c r="EU30" s="34" t="e">
        <f>AND(#REF!,"AAAAAFr7c5Y=")</f>
        <v>#REF!</v>
      </c>
      <c r="EV30" s="34" t="e">
        <f>AND(#REF!,"AAAAAFr7c5c=")</f>
        <v>#REF!</v>
      </c>
      <c r="EW30" s="34" t="e">
        <f>AND(#REF!,"AAAAAFr7c5g=")</f>
        <v>#REF!</v>
      </c>
      <c r="EX30" s="34" t="e">
        <f>AND(#REF!,"AAAAAFr7c5k=")</f>
        <v>#REF!</v>
      </c>
      <c r="EY30" s="34" t="e">
        <f>AND(#REF!,"AAAAAFr7c5o=")</f>
        <v>#REF!</v>
      </c>
      <c r="EZ30" s="34" t="e">
        <f>AND(#REF!,"AAAAAFr7c5s=")</f>
        <v>#REF!</v>
      </c>
      <c r="FA30" s="34" t="e">
        <f>AND(#REF!,"AAAAAFr7c5w=")</f>
        <v>#REF!</v>
      </c>
      <c r="FB30" s="34" t="e">
        <f>AND(#REF!,"AAAAAFr7c50=")</f>
        <v>#REF!</v>
      </c>
      <c r="FC30" s="34" t="e">
        <f>AND(#REF!,"AAAAAFr7c54=")</f>
        <v>#REF!</v>
      </c>
      <c r="FD30" s="34" t="e">
        <f>AND(#REF!,"AAAAAFr7c58=")</f>
        <v>#REF!</v>
      </c>
      <c r="FE30" s="34" t="e">
        <f>AND(#REF!,"AAAAAFr7c6A=")</f>
        <v>#REF!</v>
      </c>
      <c r="FF30" s="34" t="e">
        <f>AND(#REF!,"AAAAAFr7c6E=")</f>
        <v>#REF!</v>
      </c>
      <c r="FG30" s="34" t="e">
        <f>AND(#REF!,"AAAAAFr7c6I=")</f>
        <v>#REF!</v>
      </c>
      <c r="FH30" s="34" t="e">
        <f>AND(#REF!,"AAAAAFr7c6M=")</f>
        <v>#REF!</v>
      </c>
      <c r="FI30" s="34" t="e">
        <f>AND(#REF!,"AAAAAFr7c6Q=")</f>
        <v>#REF!</v>
      </c>
      <c r="FJ30" s="34" t="e">
        <f>AND(#REF!,"AAAAAFr7c6U=")</f>
        <v>#REF!</v>
      </c>
      <c r="FK30" s="34" t="e">
        <f>AND(#REF!,"AAAAAFr7c6Y=")</f>
        <v>#REF!</v>
      </c>
      <c r="FL30" s="34" t="e">
        <f>AND(#REF!,"AAAAAFr7c6c=")</f>
        <v>#REF!</v>
      </c>
      <c r="FM30" s="34" t="e">
        <f>AND(#REF!,"AAAAAFr7c6g=")</f>
        <v>#REF!</v>
      </c>
      <c r="FN30" s="34" t="e">
        <f>AND(#REF!,"AAAAAFr7c6k=")</f>
        <v>#REF!</v>
      </c>
      <c r="FO30" s="34" t="e">
        <f>AND(#REF!,"AAAAAFr7c6o=")</f>
        <v>#REF!</v>
      </c>
      <c r="FP30" s="34" t="e">
        <f>AND(#REF!,"AAAAAFr7c6s=")</f>
        <v>#REF!</v>
      </c>
      <c r="FQ30" s="34" t="e">
        <f>AND(#REF!,"AAAAAFr7c6w=")</f>
        <v>#REF!</v>
      </c>
      <c r="FR30" s="34" t="e">
        <f>AND(#REF!,"AAAAAFr7c60=")</f>
        <v>#REF!</v>
      </c>
      <c r="FS30" s="34" t="e">
        <f>AND(#REF!,"AAAAAFr7c64=")</f>
        <v>#REF!</v>
      </c>
      <c r="FT30" s="34" t="e">
        <f>AND(#REF!,"AAAAAFr7c68=")</f>
        <v>#REF!</v>
      </c>
      <c r="FU30" s="34" t="e">
        <f>AND(#REF!,"AAAAAFr7c7A=")</f>
        <v>#REF!</v>
      </c>
      <c r="FV30" s="34" t="e">
        <f>AND(#REF!,"AAAAAFr7c7E=")</f>
        <v>#REF!</v>
      </c>
      <c r="FW30" s="34" t="e">
        <f>AND(#REF!,"AAAAAFr7c7I=")</f>
        <v>#REF!</v>
      </c>
      <c r="FX30" s="34" t="e">
        <f>AND(#REF!,"AAAAAFr7c7M=")</f>
        <v>#REF!</v>
      </c>
      <c r="FY30" s="34" t="e">
        <f>AND(#REF!,"AAAAAFr7c7Q=")</f>
        <v>#REF!</v>
      </c>
      <c r="FZ30" s="34" t="e">
        <f>AND(#REF!,"AAAAAFr7c7U=")</f>
        <v>#REF!</v>
      </c>
      <c r="GA30" s="34" t="e">
        <f>AND(#REF!,"AAAAAFr7c7Y=")</f>
        <v>#REF!</v>
      </c>
      <c r="GB30" s="34" t="e">
        <f>AND(#REF!,"AAAAAFr7c7c=")</f>
        <v>#REF!</v>
      </c>
      <c r="GC30" s="34" t="e">
        <f>AND(#REF!,"AAAAAFr7c7g=")</f>
        <v>#REF!</v>
      </c>
      <c r="GD30" s="34" t="e">
        <f>AND(#REF!,"AAAAAFr7c7k=")</f>
        <v>#REF!</v>
      </c>
      <c r="GE30" s="34" t="e">
        <f>AND(#REF!,"AAAAAFr7c7o=")</f>
        <v>#REF!</v>
      </c>
      <c r="GF30" s="34" t="e">
        <f>AND(#REF!,"AAAAAFr7c7s=")</f>
        <v>#REF!</v>
      </c>
      <c r="GG30" s="34" t="e">
        <f>AND(#REF!,"AAAAAFr7c7w=")</f>
        <v>#REF!</v>
      </c>
      <c r="GH30" s="34" t="e">
        <f>AND(#REF!,"AAAAAFr7c70=")</f>
        <v>#REF!</v>
      </c>
      <c r="GI30" s="34" t="e">
        <f>AND(#REF!,"AAAAAFr7c74=")</f>
        <v>#REF!</v>
      </c>
      <c r="GJ30" s="34" t="e">
        <f>AND(#REF!,"AAAAAFr7c78=")</f>
        <v>#REF!</v>
      </c>
      <c r="GK30" s="34" t="e">
        <f>AND(#REF!,"AAAAAFr7c8A=")</f>
        <v>#REF!</v>
      </c>
      <c r="GL30" s="34" t="e">
        <f>IF(#REF!,"AAAAAFr7c8E=",0)</f>
        <v>#REF!</v>
      </c>
      <c r="GM30" s="34" t="e">
        <f>AND(#REF!,"AAAAAFr7c8I=")</f>
        <v>#REF!</v>
      </c>
      <c r="GN30" s="34" t="e">
        <f>AND(#REF!,"AAAAAFr7c8M=")</f>
        <v>#REF!</v>
      </c>
      <c r="GO30" s="34" t="e">
        <f>AND(#REF!,"AAAAAFr7c8Q=")</f>
        <v>#REF!</v>
      </c>
      <c r="GP30" s="34" t="e">
        <f>AND(#REF!,"AAAAAFr7c8U=")</f>
        <v>#REF!</v>
      </c>
      <c r="GQ30" s="34" t="e">
        <f>AND(#REF!,"AAAAAFr7c8Y=")</f>
        <v>#REF!</v>
      </c>
      <c r="GR30" s="34" t="e">
        <f>AND(#REF!,"AAAAAFr7c8c=")</f>
        <v>#REF!</v>
      </c>
      <c r="GS30" s="34" t="e">
        <f>AND(#REF!,"AAAAAFr7c8g=")</f>
        <v>#REF!</v>
      </c>
      <c r="GT30" s="34" t="e">
        <f>AND(#REF!,"AAAAAFr7c8k=")</f>
        <v>#REF!</v>
      </c>
      <c r="GU30" s="34" t="e">
        <f>AND(#REF!,"AAAAAFr7c8o=")</f>
        <v>#REF!</v>
      </c>
      <c r="GV30" s="34" t="e">
        <f>AND(#REF!,"AAAAAFr7c8s=")</f>
        <v>#REF!</v>
      </c>
      <c r="GW30" s="34" t="e">
        <f>AND(#REF!,"AAAAAFr7c8w=")</f>
        <v>#REF!</v>
      </c>
      <c r="GX30" s="34" t="e">
        <f>AND(#REF!,"AAAAAFr7c80=")</f>
        <v>#REF!</v>
      </c>
      <c r="GY30" s="34" t="e">
        <f>AND(#REF!,"AAAAAFr7c84=")</f>
        <v>#REF!</v>
      </c>
      <c r="GZ30" s="34" t="e">
        <f>AND(#REF!,"AAAAAFr7c88=")</f>
        <v>#REF!</v>
      </c>
      <c r="HA30" s="34" t="e">
        <f>AND(#REF!,"AAAAAFr7c9A=")</f>
        <v>#REF!</v>
      </c>
      <c r="HB30" s="34" t="e">
        <f>AND(#REF!,"AAAAAFr7c9E=")</f>
        <v>#REF!</v>
      </c>
      <c r="HC30" s="34" t="e">
        <f>AND(#REF!,"AAAAAFr7c9I=")</f>
        <v>#REF!</v>
      </c>
      <c r="HD30" s="34" t="e">
        <f>AND(#REF!,"AAAAAFr7c9M=")</f>
        <v>#REF!</v>
      </c>
      <c r="HE30" s="34" t="e">
        <f>AND(#REF!,"AAAAAFr7c9Q=")</f>
        <v>#REF!</v>
      </c>
      <c r="HF30" s="34" t="e">
        <f>AND(#REF!,"AAAAAFr7c9U=")</f>
        <v>#REF!</v>
      </c>
      <c r="HG30" s="34" t="e">
        <f>AND(#REF!,"AAAAAFr7c9Y=")</f>
        <v>#REF!</v>
      </c>
      <c r="HH30" s="34" t="e">
        <f>AND(#REF!,"AAAAAFr7c9c=")</f>
        <v>#REF!</v>
      </c>
      <c r="HI30" s="34" t="e">
        <f>AND(#REF!,"AAAAAFr7c9g=")</f>
        <v>#REF!</v>
      </c>
      <c r="HJ30" s="34" t="e">
        <f>AND(#REF!,"AAAAAFr7c9k=")</f>
        <v>#REF!</v>
      </c>
      <c r="HK30" s="34" t="e">
        <f>AND(#REF!,"AAAAAFr7c9o=")</f>
        <v>#REF!</v>
      </c>
      <c r="HL30" s="34" t="e">
        <f>AND(#REF!,"AAAAAFr7c9s=")</f>
        <v>#REF!</v>
      </c>
      <c r="HM30" s="34" t="e">
        <f>AND(#REF!,"AAAAAFr7c9w=")</f>
        <v>#REF!</v>
      </c>
      <c r="HN30" s="34" t="e">
        <f>AND(#REF!,"AAAAAFr7c90=")</f>
        <v>#REF!</v>
      </c>
      <c r="HO30" s="34" t="e">
        <f>AND(#REF!,"AAAAAFr7c94=")</f>
        <v>#REF!</v>
      </c>
      <c r="HP30" s="34" t="e">
        <f>AND(#REF!,"AAAAAFr7c98=")</f>
        <v>#REF!</v>
      </c>
      <c r="HQ30" s="34" t="e">
        <f>AND(#REF!,"AAAAAFr7c+A=")</f>
        <v>#REF!</v>
      </c>
      <c r="HR30" s="34" t="e">
        <f>AND(#REF!,"AAAAAFr7c+E=")</f>
        <v>#REF!</v>
      </c>
      <c r="HS30" s="34" t="e">
        <f>AND(#REF!,"AAAAAFr7c+I=")</f>
        <v>#REF!</v>
      </c>
      <c r="HT30" s="34" t="e">
        <f>AND(#REF!,"AAAAAFr7c+M=")</f>
        <v>#REF!</v>
      </c>
      <c r="HU30" s="34" t="e">
        <f>AND(#REF!,"AAAAAFr7c+Q=")</f>
        <v>#REF!</v>
      </c>
      <c r="HV30" s="34" t="e">
        <f>AND(#REF!,"AAAAAFr7c+U=")</f>
        <v>#REF!</v>
      </c>
      <c r="HW30" s="34" t="e">
        <f>AND(#REF!,"AAAAAFr7c+Y=")</f>
        <v>#REF!</v>
      </c>
      <c r="HX30" s="34" t="e">
        <f>AND(#REF!,"AAAAAFr7c+c=")</f>
        <v>#REF!</v>
      </c>
      <c r="HY30" s="34" t="e">
        <f>AND(#REF!,"AAAAAFr7c+g=")</f>
        <v>#REF!</v>
      </c>
      <c r="HZ30" s="34" t="e">
        <f>AND(#REF!,"AAAAAFr7c+k=")</f>
        <v>#REF!</v>
      </c>
      <c r="IA30" s="34" t="e">
        <f>AND(#REF!,"AAAAAFr7c+o=")</f>
        <v>#REF!</v>
      </c>
      <c r="IB30" s="34" t="e">
        <f>AND(#REF!,"AAAAAFr7c+s=")</f>
        <v>#REF!</v>
      </c>
      <c r="IC30" s="34" t="e">
        <f>AND(#REF!,"AAAAAFr7c+w=")</f>
        <v>#REF!</v>
      </c>
      <c r="ID30" s="34" t="e">
        <f>AND(#REF!,"AAAAAFr7c+0=")</f>
        <v>#REF!</v>
      </c>
      <c r="IE30" s="34" t="e">
        <f>AND(#REF!,"AAAAAFr7c+4=")</f>
        <v>#REF!</v>
      </c>
      <c r="IF30" s="34" t="e">
        <f>AND(#REF!,"AAAAAFr7c+8=")</f>
        <v>#REF!</v>
      </c>
      <c r="IG30" s="34" t="e">
        <f>AND(#REF!,"AAAAAFr7c/A=")</f>
        <v>#REF!</v>
      </c>
      <c r="IH30" s="34" t="e">
        <f>AND(#REF!,"AAAAAFr7c/E=")</f>
        <v>#REF!</v>
      </c>
      <c r="II30" s="34" t="e">
        <f>AND(#REF!,"AAAAAFr7c/I=")</f>
        <v>#REF!</v>
      </c>
      <c r="IJ30" s="34" t="e">
        <f>AND(#REF!,"AAAAAFr7c/M=")</f>
        <v>#REF!</v>
      </c>
      <c r="IK30" s="34" t="e">
        <f>AND(#REF!,"AAAAAFr7c/Q=")</f>
        <v>#REF!</v>
      </c>
      <c r="IL30" s="34" t="e">
        <f>AND(#REF!,"AAAAAFr7c/U=")</f>
        <v>#REF!</v>
      </c>
      <c r="IM30" s="34" t="e">
        <f>AND(#REF!,"AAAAAFr7c/Y=")</f>
        <v>#REF!</v>
      </c>
      <c r="IN30" s="34" t="e">
        <f>AND(#REF!,"AAAAAFr7c/c=")</f>
        <v>#REF!</v>
      </c>
      <c r="IO30" s="34" t="e">
        <f>AND(#REF!,"AAAAAFr7c/g=")</f>
        <v>#REF!</v>
      </c>
      <c r="IP30" s="34" t="e">
        <f>AND(#REF!,"AAAAAFr7c/k=")</f>
        <v>#REF!</v>
      </c>
      <c r="IQ30" s="34" t="e">
        <f>AND(#REF!,"AAAAAFr7c/o=")</f>
        <v>#REF!</v>
      </c>
      <c r="IR30" s="34" t="e">
        <f>AND(#REF!,"AAAAAFr7c/s=")</f>
        <v>#REF!</v>
      </c>
      <c r="IS30" s="34" t="e">
        <f>AND(#REF!,"AAAAAFr7c/w=")</f>
        <v>#REF!</v>
      </c>
      <c r="IT30" s="34" t="e">
        <f>AND(#REF!,"AAAAAFr7c/0=")</f>
        <v>#REF!</v>
      </c>
      <c r="IU30" s="34" t="e">
        <f>AND(#REF!,"AAAAAFr7c/4=")</f>
        <v>#REF!</v>
      </c>
      <c r="IV30" s="34" t="e">
        <f>AND(#REF!,"AAAAAFr7c/8=")</f>
        <v>#REF!</v>
      </c>
    </row>
    <row r="31" spans="1:256" ht="12.75" customHeight="1" x14ac:dyDescent="0.2">
      <c r="A31" s="34" t="e">
        <f>AND(#REF!,"AAAAAHeevwA=")</f>
        <v>#REF!</v>
      </c>
      <c r="B31" s="34" t="e">
        <f>AND(#REF!,"AAAAAHeevwE=")</f>
        <v>#REF!</v>
      </c>
      <c r="C31" s="34" t="e">
        <f>AND(#REF!,"AAAAAHeevwI=")</f>
        <v>#REF!</v>
      </c>
      <c r="D31" s="34" t="e">
        <f>AND(#REF!,"AAAAAHeevwM=")</f>
        <v>#REF!</v>
      </c>
      <c r="E31" s="34" t="e">
        <f>AND(#REF!,"AAAAAHeevwQ=")</f>
        <v>#REF!</v>
      </c>
      <c r="F31" s="34" t="e">
        <f>AND(#REF!,"AAAAAHeevwU=")</f>
        <v>#REF!</v>
      </c>
      <c r="G31" s="34" t="e">
        <f>AND(#REF!,"AAAAAHeevwY=")</f>
        <v>#REF!</v>
      </c>
      <c r="H31" s="34" t="e">
        <f>AND(#REF!,"AAAAAHeevwc=")</f>
        <v>#REF!</v>
      </c>
      <c r="I31" s="34" t="e">
        <f>AND(#REF!,"AAAAAHeevwg=")</f>
        <v>#REF!</v>
      </c>
      <c r="J31" s="34" t="e">
        <f>AND(#REF!,"AAAAAHeevwk=")</f>
        <v>#REF!</v>
      </c>
      <c r="K31" s="34" t="e">
        <f>IF(#REF!,"AAAAAHeevwo=",0)</f>
        <v>#REF!</v>
      </c>
      <c r="L31" s="34" t="e">
        <f>AND(#REF!,"AAAAAHeevws=")</f>
        <v>#REF!</v>
      </c>
      <c r="M31" s="34" t="e">
        <f>AND(#REF!,"AAAAAHeevww=")</f>
        <v>#REF!</v>
      </c>
      <c r="N31" s="34" t="e">
        <f>AND(#REF!,"AAAAAHeevw0=")</f>
        <v>#REF!</v>
      </c>
      <c r="O31" s="34" t="e">
        <f>AND(#REF!,"AAAAAHeevw4=")</f>
        <v>#REF!</v>
      </c>
      <c r="P31" s="34" t="e">
        <f>AND(#REF!,"AAAAAHeevw8=")</f>
        <v>#REF!</v>
      </c>
      <c r="Q31" s="34" t="e">
        <f>AND(#REF!,"AAAAAHeevxA=")</f>
        <v>#REF!</v>
      </c>
      <c r="R31" s="34" t="e">
        <f>AND(#REF!,"AAAAAHeevxE=")</f>
        <v>#REF!</v>
      </c>
      <c r="S31" s="34" t="e">
        <f>AND(#REF!,"AAAAAHeevxI=")</f>
        <v>#REF!</v>
      </c>
      <c r="T31" s="34" t="e">
        <f>AND(#REF!,"AAAAAHeevxM=")</f>
        <v>#REF!</v>
      </c>
      <c r="U31" s="34" t="e">
        <f>AND(#REF!,"AAAAAHeevxQ=")</f>
        <v>#REF!</v>
      </c>
      <c r="V31" s="34" t="e">
        <f>AND(#REF!,"AAAAAHeevxU=")</f>
        <v>#REF!</v>
      </c>
      <c r="W31" s="34" t="e">
        <f>AND(#REF!,"AAAAAHeevxY=")</f>
        <v>#REF!</v>
      </c>
      <c r="X31" s="34" t="e">
        <f>AND(#REF!,"AAAAAHeevxc=")</f>
        <v>#REF!</v>
      </c>
      <c r="Y31" s="34" t="e">
        <f>AND(#REF!,"AAAAAHeevxg=")</f>
        <v>#REF!</v>
      </c>
      <c r="Z31" s="34" t="e">
        <f>AND(#REF!,"AAAAAHeevxk=")</f>
        <v>#REF!</v>
      </c>
      <c r="AA31" s="34" t="e">
        <f>AND(#REF!,"AAAAAHeevxo=")</f>
        <v>#REF!</v>
      </c>
      <c r="AB31" s="34" t="e">
        <f>AND(#REF!,"AAAAAHeevxs=")</f>
        <v>#REF!</v>
      </c>
      <c r="AC31" s="34" t="e">
        <f>AND(#REF!,"AAAAAHeevxw=")</f>
        <v>#REF!</v>
      </c>
      <c r="AD31" s="34" t="e">
        <f>AND(#REF!,"AAAAAHeevx0=")</f>
        <v>#REF!</v>
      </c>
      <c r="AE31" s="34" t="e">
        <f>AND(#REF!,"AAAAAHeevx4=")</f>
        <v>#REF!</v>
      </c>
      <c r="AF31" s="34" t="e">
        <f>AND(#REF!,"AAAAAHeevx8=")</f>
        <v>#REF!</v>
      </c>
      <c r="AG31" s="34" t="e">
        <f>AND(#REF!,"AAAAAHeevyA=")</f>
        <v>#REF!</v>
      </c>
      <c r="AH31" s="34" t="e">
        <f>AND(#REF!,"AAAAAHeevyE=")</f>
        <v>#REF!</v>
      </c>
      <c r="AI31" s="34" t="e">
        <f>AND(#REF!,"AAAAAHeevyI=")</f>
        <v>#REF!</v>
      </c>
      <c r="AJ31" s="34" t="e">
        <f>AND(#REF!,"AAAAAHeevyM=")</f>
        <v>#REF!</v>
      </c>
      <c r="AK31" s="34" t="e">
        <f>AND(#REF!,"AAAAAHeevyQ=")</f>
        <v>#REF!</v>
      </c>
      <c r="AL31" s="34" t="e">
        <f>AND(#REF!,"AAAAAHeevyU=")</f>
        <v>#REF!</v>
      </c>
      <c r="AM31" s="34" t="e">
        <f>AND(#REF!,"AAAAAHeevyY=")</f>
        <v>#REF!</v>
      </c>
      <c r="AN31" s="34" t="e">
        <f>AND(#REF!,"AAAAAHeevyc=")</f>
        <v>#REF!</v>
      </c>
      <c r="AO31" s="34" t="e">
        <f>AND(#REF!,"AAAAAHeevyg=")</f>
        <v>#REF!</v>
      </c>
      <c r="AP31" s="34" t="e">
        <f>AND(#REF!,"AAAAAHeevyk=")</f>
        <v>#REF!</v>
      </c>
      <c r="AQ31" s="34" t="e">
        <f>AND(#REF!,"AAAAAHeevyo=")</f>
        <v>#REF!</v>
      </c>
      <c r="AR31" s="34" t="e">
        <f>AND(#REF!,"AAAAAHeevys=")</f>
        <v>#REF!</v>
      </c>
      <c r="AS31" s="34" t="e">
        <f>AND(#REF!,"AAAAAHeevyw=")</f>
        <v>#REF!</v>
      </c>
      <c r="AT31" s="34" t="e">
        <f>AND(#REF!,"AAAAAHeevy0=")</f>
        <v>#REF!</v>
      </c>
      <c r="AU31" s="34" t="e">
        <f>AND(#REF!,"AAAAAHeevy4=")</f>
        <v>#REF!</v>
      </c>
      <c r="AV31" s="34" t="e">
        <f>AND(#REF!,"AAAAAHeevy8=")</f>
        <v>#REF!</v>
      </c>
      <c r="AW31" s="34" t="e">
        <f>AND(#REF!,"AAAAAHeevzA=")</f>
        <v>#REF!</v>
      </c>
      <c r="AX31" s="34" t="e">
        <f>AND(#REF!,"AAAAAHeevzE=")</f>
        <v>#REF!</v>
      </c>
      <c r="AY31" s="34" t="e">
        <f>AND(#REF!,"AAAAAHeevzI=")</f>
        <v>#REF!</v>
      </c>
      <c r="AZ31" s="34" t="e">
        <f>AND(#REF!,"AAAAAHeevzM=")</f>
        <v>#REF!</v>
      </c>
      <c r="BA31" s="34" t="e">
        <f>AND(#REF!,"AAAAAHeevzQ=")</f>
        <v>#REF!</v>
      </c>
      <c r="BB31" s="34" t="e">
        <f>AND(#REF!,"AAAAAHeevzU=")</f>
        <v>#REF!</v>
      </c>
      <c r="BC31" s="34" t="e">
        <f>AND(#REF!,"AAAAAHeevzY=")</f>
        <v>#REF!</v>
      </c>
      <c r="BD31" s="34" t="e">
        <f>AND(#REF!,"AAAAAHeevzc=")</f>
        <v>#REF!</v>
      </c>
      <c r="BE31" s="34" t="e">
        <f>AND(#REF!,"AAAAAHeevzg=")</f>
        <v>#REF!</v>
      </c>
      <c r="BF31" s="34" t="e">
        <f>AND(#REF!,"AAAAAHeevzk=")</f>
        <v>#REF!</v>
      </c>
      <c r="BG31" s="34" t="e">
        <f>AND(#REF!,"AAAAAHeevzo=")</f>
        <v>#REF!</v>
      </c>
      <c r="BH31" s="34" t="e">
        <f>AND(#REF!,"AAAAAHeevzs=")</f>
        <v>#REF!</v>
      </c>
      <c r="BI31" s="34" t="e">
        <f>AND(#REF!,"AAAAAHeevzw=")</f>
        <v>#REF!</v>
      </c>
      <c r="BJ31" s="34" t="e">
        <f>AND(#REF!,"AAAAAHeevz0=")</f>
        <v>#REF!</v>
      </c>
      <c r="BK31" s="34" t="e">
        <f>AND(#REF!,"AAAAAHeevz4=")</f>
        <v>#REF!</v>
      </c>
      <c r="BL31" s="34" t="e">
        <f>AND(#REF!,"AAAAAHeevz8=")</f>
        <v>#REF!</v>
      </c>
      <c r="BM31" s="34" t="e">
        <f>AND(#REF!,"AAAAAHeev0A=")</f>
        <v>#REF!</v>
      </c>
      <c r="BN31" s="34" t="e">
        <f>AND(#REF!,"AAAAAHeev0E=")</f>
        <v>#REF!</v>
      </c>
      <c r="BO31" s="34" t="e">
        <f>AND(#REF!,"AAAAAHeev0I=")</f>
        <v>#REF!</v>
      </c>
      <c r="BP31" s="34" t="e">
        <f>AND(#REF!,"AAAAAHeev0M=")</f>
        <v>#REF!</v>
      </c>
      <c r="BQ31" s="34" t="e">
        <f>AND(#REF!,"AAAAAHeev0Q=")</f>
        <v>#REF!</v>
      </c>
      <c r="BR31" s="34" t="e">
        <f>AND(#REF!,"AAAAAHeev0U=")</f>
        <v>#REF!</v>
      </c>
      <c r="BS31" s="34" t="e">
        <f>AND(#REF!,"AAAAAHeev0Y=")</f>
        <v>#REF!</v>
      </c>
      <c r="BT31" s="34" t="e">
        <f>AND(#REF!,"AAAAAHeev0c=")</f>
        <v>#REF!</v>
      </c>
      <c r="BU31" s="34" t="e">
        <f>AND(#REF!,"AAAAAHeev0g=")</f>
        <v>#REF!</v>
      </c>
      <c r="BV31" s="34" t="e">
        <f>AND(#REF!,"AAAAAHeev0k=")</f>
        <v>#REF!</v>
      </c>
      <c r="BW31" s="34" t="e">
        <f>AND(#REF!,"AAAAAHeev0o=")</f>
        <v>#REF!</v>
      </c>
      <c r="BX31" s="34" t="e">
        <f>AND(#REF!,"AAAAAHeev0s=")</f>
        <v>#REF!</v>
      </c>
      <c r="BY31" s="34" t="e">
        <f>AND(#REF!,"AAAAAHeev0w=")</f>
        <v>#REF!</v>
      </c>
      <c r="BZ31" s="34" t="e">
        <f>AND(#REF!,"AAAAAHeev00=")</f>
        <v>#REF!</v>
      </c>
      <c r="CA31" s="34" t="e">
        <f>AND(#REF!,"AAAAAHeev04=")</f>
        <v>#REF!</v>
      </c>
      <c r="CB31" s="34" t="e">
        <f>AND(#REF!,"AAAAAHeev08=")</f>
        <v>#REF!</v>
      </c>
      <c r="CC31" s="34" t="e">
        <f>AND(#REF!,"AAAAAHeev1A=")</f>
        <v>#REF!</v>
      </c>
      <c r="CD31" s="34" t="e">
        <f>AND(#REF!,"AAAAAHeev1E=")</f>
        <v>#REF!</v>
      </c>
      <c r="CE31" s="34" t="e">
        <f>AND(#REF!,"AAAAAHeev1I=")</f>
        <v>#REF!</v>
      </c>
      <c r="CF31" s="34" t="e">
        <f>IF(#REF!,"AAAAAHeev1M=",0)</f>
        <v>#REF!</v>
      </c>
      <c r="CG31" s="34" t="e">
        <f>AND(#REF!,"AAAAAHeev1Q=")</f>
        <v>#REF!</v>
      </c>
      <c r="CH31" s="34" t="e">
        <f>AND(#REF!,"AAAAAHeev1U=")</f>
        <v>#REF!</v>
      </c>
      <c r="CI31" s="34" t="e">
        <f>AND(#REF!,"AAAAAHeev1Y=")</f>
        <v>#REF!</v>
      </c>
      <c r="CJ31" s="34" t="e">
        <f>AND(#REF!,"AAAAAHeev1c=")</f>
        <v>#REF!</v>
      </c>
      <c r="CK31" s="34" t="e">
        <f>AND(#REF!,"AAAAAHeev1g=")</f>
        <v>#REF!</v>
      </c>
      <c r="CL31" s="34" t="e">
        <f>AND(#REF!,"AAAAAHeev1k=")</f>
        <v>#REF!</v>
      </c>
      <c r="CM31" s="34" t="e">
        <f>AND(#REF!,"AAAAAHeev1o=")</f>
        <v>#REF!</v>
      </c>
      <c r="CN31" s="34" t="e">
        <f>AND(#REF!,"AAAAAHeev1s=")</f>
        <v>#REF!</v>
      </c>
      <c r="CO31" s="34" t="e">
        <f>AND(#REF!,"AAAAAHeev1w=")</f>
        <v>#REF!</v>
      </c>
      <c r="CP31" s="34" t="e">
        <f>AND(#REF!,"AAAAAHeev10=")</f>
        <v>#REF!</v>
      </c>
      <c r="CQ31" s="34" t="e">
        <f>AND(#REF!,"AAAAAHeev14=")</f>
        <v>#REF!</v>
      </c>
      <c r="CR31" s="34" t="e">
        <f>AND(#REF!,"AAAAAHeev18=")</f>
        <v>#REF!</v>
      </c>
      <c r="CS31" s="34" t="e">
        <f>AND(#REF!,"AAAAAHeev2A=")</f>
        <v>#REF!</v>
      </c>
      <c r="CT31" s="34" t="e">
        <f>AND(#REF!,"AAAAAHeev2E=")</f>
        <v>#REF!</v>
      </c>
      <c r="CU31" s="34" t="e">
        <f>AND(#REF!,"AAAAAHeev2I=")</f>
        <v>#REF!</v>
      </c>
      <c r="CV31" s="34" t="e">
        <f>AND(#REF!,"AAAAAHeev2M=")</f>
        <v>#REF!</v>
      </c>
      <c r="CW31" s="34" t="e">
        <f>AND(#REF!,"AAAAAHeev2Q=")</f>
        <v>#REF!</v>
      </c>
      <c r="CX31" s="34" t="e">
        <f>AND(#REF!,"AAAAAHeev2U=")</f>
        <v>#REF!</v>
      </c>
      <c r="CY31" s="34" t="e">
        <f>AND(#REF!,"AAAAAHeev2Y=")</f>
        <v>#REF!</v>
      </c>
      <c r="CZ31" s="34" t="e">
        <f>AND(#REF!,"AAAAAHeev2c=")</f>
        <v>#REF!</v>
      </c>
      <c r="DA31" s="34" t="e">
        <f>AND(#REF!,"AAAAAHeev2g=")</f>
        <v>#REF!</v>
      </c>
      <c r="DB31" s="34" t="e">
        <f>AND(#REF!,"AAAAAHeev2k=")</f>
        <v>#REF!</v>
      </c>
      <c r="DC31" s="34" t="e">
        <f>AND(#REF!,"AAAAAHeev2o=")</f>
        <v>#REF!</v>
      </c>
      <c r="DD31" s="34" t="e">
        <f>AND(#REF!,"AAAAAHeev2s=")</f>
        <v>#REF!</v>
      </c>
      <c r="DE31" s="34" t="e">
        <f>AND(#REF!,"AAAAAHeev2w=")</f>
        <v>#REF!</v>
      </c>
      <c r="DF31" s="34" t="e">
        <f>AND(#REF!,"AAAAAHeev20=")</f>
        <v>#REF!</v>
      </c>
      <c r="DG31" s="34" t="e">
        <f>AND(#REF!,"AAAAAHeev24=")</f>
        <v>#REF!</v>
      </c>
      <c r="DH31" s="34" t="e">
        <f>AND(#REF!,"AAAAAHeev28=")</f>
        <v>#REF!</v>
      </c>
      <c r="DI31" s="34" t="e">
        <f>AND(#REF!,"AAAAAHeev3A=")</f>
        <v>#REF!</v>
      </c>
      <c r="DJ31" s="34" t="e">
        <f>AND(#REF!,"AAAAAHeev3E=")</f>
        <v>#REF!</v>
      </c>
      <c r="DK31" s="34" t="e">
        <f>AND(#REF!,"AAAAAHeev3I=")</f>
        <v>#REF!</v>
      </c>
      <c r="DL31" s="34" t="e">
        <f>AND(#REF!,"AAAAAHeev3M=")</f>
        <v>#REF!</v>
      </c>
      <c r="DM31" s="34" t="e">
        <f>AND(#REF!,"AAAAAHeev3Q=")</f>
        <v>#REF!</v>
      </c>
      <c r="DN31" s="34" t="e">
        <f>AND(#REF!,"AAAAAHeev3U=")</f>
        <v>#REF!</v>
      </c>
      <c r="DO31" s="34" t="e">
        <f>AND(#REF!,"AAAAAHeev3Y=")</f>
        <v>#REF!</v>
      </c>
      <c r="DP31" s="34" t="e">
        <f>AND(#REF!,"AAAAAHeev3c=")</f>
        <v>#REF!</v>
      </c>
      <c r="DQ31" s="34" t="e">
        <f>AND(#REF!,"AAAAAHeev3g=")</f>
        <v>#REF!</v>
      </c>
      <c r="DR31" s="34" t="e">
        <f>AND(#REF!,"AAAAAHeev3k=")</f>
        <v>#REF!</v>
      </c>
      <c r="DS31" s="34" t="e">
        <f>AND(#REF!,"AAAAAHeev3o=")</f>
        <v>#REF!</v>
      </c>
      <c r="DT31" s="34" t="e">
        <f>AND(#REF!,"AAAAAHeev3s=")</f>
        <v>#REF!</v>
      </c>
      <c r="DU31" s="34" t="e">
        <f>AND(#REF!,"AAAAAHeev3w=")</f>
        <v>#REF!</v>
      </c>
      <c r="DV31" s="34" t="e">
        <f>AND(#REF!,"AAAAAHeev30=")</f>
        <v>#REF!</v>
      </c>
      <c r="DW31" s="34" t="e">
        <f>AND(#REF!,"AAAAAHeev34=")</f>
        <v>#REF!</v>
      </c>
      <c r="DX31" s="34" t="e">
        <f>AND(#REF!,"AAAAAHeev38=")</f>
        <v>#REF!</v>
      </c>
      <c r="DY31" s="34" t="e">
        <f>AND(#REF!,"AAAAAHeev4A=")</f>
        <v>#REF!</v>
      </c>
      <c r="DZ31" s="34" t="e">
        <f>AND(#REF!,"AAAAAHeev4E=")</f>
        <v>#REF!</v>
      </c>
      <c r="EA31" s="34" t="e">
        <f>AND(#REF!,"AAAAAHeev4I=")</f>
        <v>#REF!</v>
      </c>
      <c r="EB31" s="34" t="e">
        <f>AND(#REF!,"AAAAAHeev4M=")</f>
        <v>#REF!</v>
      </c>
      <c r="EC31" s="34" t="e">
        <f>AND(#REF!,"AAAAAHeev4Q=")</f>
        <v>#REF!</v>
      </c>
      <c r="ED31" s="34" t="e">
        <f>AND(#REF!,"AAAAAHeev4U=")</f>
        <v>#REF!</v>
      </c>
      <c r="EE31" s="34" t="e">
        <f>AND(#REF!,"AAAAAHeev4Y=")</f>
        <v>#REF!</v>
      </c>
      <c r="EF31" s="34" t="e">
        <f>AND(#REF!,"AAAAAHeev4c=")</f>
        <v>#REF!</v>
      </c>
      <c r="EG31" s="34" t="e">
        <f>AND(#REF!,"AAAAAHeev4g=")</f>
        <v>#REF!</v>
      </c>
      <c r="EH31" s="34" t="e">
        <f>AND(#REF!,"AAAAAHeev4k=")</f>
        <v>#REF!</v>
      </c>
      <c r="EI31" s="34" t="e">
        <f>AND(#REF!,"AAAAAHeev4o=")</f>
        <v>#REF!</v>
      </c>
      <c r="EJ31" s="34" t="e">
        <f>AND(#REF!,"AAAAAHeev4s=")</f>
        <v>#REF!</v>
      </c>
      <c r="EK31" s="34" t="e">
        <f>AND(#REF!,"AAAAAHeev4w=")</f>
        <v>#REF!</v>
      </c>
      <c r="EL31" s="34" t="e">
        <f>AND(#REF!,"AAAAAHeev40=")</f>
        <v>#REF!</v>
      </c>
      <c r="EM31" s="34" t="e">
        <f>AND(#REF!,"AAAAAHeev44=")</f>
        <v>#REF!</v>
      </c>
      <c r="EN31" s="34" t="e">
        <f>AND(#REF!,"AAAAAHeev48=")</f>
        <v>#REF!</v>
      </c>
      <c r="EO31" s="34" t="e">
        <f>AND(#REF!,"AAAAAHeev5A=")</f>
        <v>#REF!</v>
      </c>
      <c r="EP31" s="34" t="e">
        <f>AND(#REF!,"AAAAAHeev5E=")</f>
        <v>#REF!</v>
      </c>
      <c r="EQ31" s="34" t="e">
        <f>AND(#REF!,"AAAAAHeev5I=")</f>
        <v>#REF!</v>
      </c>
      <c r="ER31" s="34" t="e">
        <f>AND(#REF!,"AAAAAHeev5M=")</f>
        <v>#REF!</v>
      </c>
      <c r="ES31" s="34" t="e">
        <f>AND(#REF!,"AAAAAHeev5Q=")</f>
        <v>#REF!</v>
      </c>
      <c r="ET31" s="34" t="e">
        <f>AND(#REF!,"AAAAAHeev5U=")</f>
        <v>#REF!</v>
      </c>
      <c r="EU31" s="34" t="e">
        <f>AND(#REF!,"AAAAAHeev5Y=")</f>
        <v>#REF!</v>
      </c>
      <c r="EV31" s="34" t="e">
        <f>AND(#REF!,"AAAAAHeev5c=")</f>
        <v>#REF!</v>
      </c>
      <c r="EW31" s="34" t="e">
        <f>AND(#REF!,"AAAAAHeev5g=")</f>
        <v>#REF!</v>
      </c>
      <c r="EX31" s="34" t="e">
        <f>AND(#REF!,"AAAAAHeev5k=")</f>
        <v>#REF!</v>
      </c>
      <c r="EY31" s="34" t="e">
        <f>AND(#REF!,"AAAAAHeev5o=")</f>
        <v>#REF!</v>
      </c>
      <c r="EZ31" s="34" t="e">
        <f>AND(#REF!,"AAAAAHeev5s=")</f>
        <v>#REF!</v>
      </c>
      <c r="FA31" s="34" t="e">
        <f>IF(#REF!,"AAAAAHeev5w=",0)</f>
        <v>#REF!</v>
      </c>
      <c r="FB31" s="34" t="e">
        <f>AND(#REF!,"AAAAAHeev50=")</f>
        <v>#REF!</v>
      </c>
      <c r="FC31" s="34" t="e">
        <f>AND(#REF!,"AAAAAHeev54=")</f>
        <v>#REF!</v>
      </c>
      <c r="FD31" s="34" t="e">
        <f>AND(#REF!,"AAAAAHeev58=")</f>
        <v>#REF!</v>
      </c>
      <c r="FE31" s="34" t="e">
        <f>AND(#REF!,"AAAAAHeev6A=")</f>
        <v>#REF!</v>
      </c>
      <c r="FF31" s="34" t="e">
        <f>AND(#REF!,"AAAAAHeev6E=")</f>
        <v>#REF!</v>
      </c>
      <c r="FG31" s="34" t="e">
        <f>AND(#REF!,"AAAAAHeev6I=")</f>
        <v>#REF!</v>
      </c>
      <c r="FH31" s="34" t="e">
        <f>AND(#REF!,"AAAAAHeev6M=")</f>
        <v>#REF!</v>
      </c>
      <c r="FI31" s="34" t="e">
        <f>AND(#REF!,"AAAAAHeev6Q=")</f>
        <v>#REF!</v>
      </c>
      <c r="FJ31" s="34" t="e">
        <f>AND(#REF!,"AAAAAHeev6U=")</f>
        <v>#REF!</v>
      </c>
      <c r="FK31" s="34" t="e">
        <f>AND(#REF!,"AAAAAHeev6Y=")</f>
        <v>#REF!</v>
      </c>
      <c r="FL31" s="34" t="e">
        <f>AND(#REF!,"AAAAAHeev6c=")</f>
        <v>#REF!</v>
      </c>
      <c r="FM31" s="34" t="e">
        <f>AND(#REF!,"AAAAAHeev6g=")</f>
        <v>#REF!</v>
      </c>
      <c r="FN31" s="34" t="e">
        <f>AND(#REF!,"AAAAAHeev6k=")</f>
        <v>#REF!</v>
      </c>
      <c r="FO31" s="34" t="e">
        <f>AND(#REF!,"AAAAAHeev6o=")</f>
        <v>#REF!</v>
      </c>
      <c r="FP31" s="34" t="e">
        <f>AND(#REF!,"AAAAAHeev6s=")</f>
        <v>#REF!</v>
      </c>
      <c r="FQ31" s="34" t="e">
        <f>AND(#REF!,"AAAAAHeev6w=")</f>
        <v>#REF!</v>
      </c>
      <c r="FR31" s="34" t="e">
        <f>AND(#REF!,"AAAAAHeev60=")</f>
        <v>#REF!</v>
      </c>
      <c r="FS31" s="34" t="e">
        <f>AND(#REF!,"AAAAAHeev64=")</f>
        <v>#REF!</v>
      </c>
      <c r="FT31" s="34" t="e">
        <f>AND(#REF!,"AAAAAHeev68=")</f>
        <v>#REF!</v>
      </c>
      <c r="FU31" s="34" t="e">
        <f>AND(#REF!,"AAAAAHeev7A=")</f>
        <v>#REF!</v>
      </c>
      <c r="FV31" s="34" t="e">
        <f>AND(#REF!,"AAAAAHeev7E=")</f>
        <v>#REF!</v>
      </c>
      <c r="FW31" s="34" t="e">
        <f>AND(#REF!,"AAAAAHeev7I=")</f>
        <v>#REF!</v>
      </c>
      <c r="FX31" s="34" t="e">
        <f>AND(#REF!,"AAAAAHeev7M=")</f>
        <v>#REF!</v>
      </c>
      <c r="FY31" s="34" t="e">
        <f>AND(#REF!,"AAAAAHeev7Q=")</f>
        <v>#REF!</v>
      </c>
      <c r="FZ31" s="34" t="e">
        <f>AND(#REF!,"AAAAAHeev7U=")</f>
        <v>#REF!</v>
      </c>
      <c r="GA31" s="34" t="e">
        <f>AND(#REF!,"AAAAAHeev7Y=")</f>
        <v>#REF!</v>
      </c>
      <c r="GB31" s="34" t="e">
        <f>AND(#REF!,"AAAAAHeev7c=")</f>
        <v>#REF!</v>
      </c>
      <c r="GC31" s="34" t="e">
        <f>AND(#REF!,"AAAAAHeev7g=")</f>
        <v>#REF!</v>
      </c>
      <c r="GD31" s="34" t="e">
        <f>AND(#REF!,"AAAAAHeev7k=")</f>
        <v>#REF!</v>
      </c>
      <c r="GE31" s="34" t="e">
        <f>AND(#REF!,"AAAAAHeev7o=")</f>
        <v>#REF!</v>
      </c>
      <c r="GF31" s="34" t="e">
        <f>AND(#REF!,"AAAAAHeev7s=")</f>
        <v>#REF!</v>
      </c>
      <c r="GG31" s="34" t="e">
        <f>AND(#REF!,"AAAAAHeev7w=")</f>
        <v>#REF!</v>
      </c>
      <c r="GH31" s="34" t="e">
        <f>AND(#REF!,"AAAAAHeev70=")</f>
        <v>#REF!</v>
      </c>
      <c r="GI31" s="34" t="e">
        <f>AND(#REF!,"AAAAAHeev74=")</f>
        <v>#REF!</v>
      </c>
      <c r="GJ31" s="34" t="e">
        <f>AND(#REF!,"AAAAAHeev78=")</f>
        <v>#REF!</v>
      </c>
      <c r="GK31" s="34" t="e">
        <f>AND(#REF!,"AAAAAHeev8A=")</f>
        <v>#REF!</v>
      </c>
      <c r="GL31" s="34" t="e">
        <f>AND(#REF!,"AAAAAHeev8E=")</f>
        <v>#REF!</v>
      </c>
      <c r="GM31" s="34" t="e">
        <f>AND(#REF!,"AAAAAHeev8I=")</f>
        <v>#REF!</v>
      </c>
      <c r="GN31" s="34" t="e">
        <f>AND(#REF!,"AAAAAHeev8M=")</f>
        <v>#REF!</v>
      </c>
      <c r="GO31" s="34" t="e">
        <f>AND(#REF!,"AAAAAHeev8Q=")</f>
        <v>#REF!</v>
      </c>
      <c r="GP31" s="34" t="e">
        <f>AND(#REF!,"AAAAAHeev8U=")</f>
        <v>#REF!</v>
      </c>
      <c r="GQ31" s="34" t="e">
        <f>AND(#REF!,"AAAAAHeev8Y=")</f>
        <v>#REF!</v>
      </c>
      <c r="GR31" s="34" t="e">
        <f>AND(#REF!,"AAAAAHeev8c=")</f>
        <v>#REF!</v>
      </c>
      <c r="GS31" s="34" t="e">
        <f>AND(#REF!,"AAAAAHeev8g=")</f>
        <v>#REF!</v>
      </c>
      <c r="GT31" s="34" t="e">
        <f>AND(#REF!,"AAAAAHeev8k=")</f>
        <v>#REF!</v>
      </c>
      <c r="GU31" s="34" t="e">
        <f>AND(#REF!,"AAAAAHeev8o=")</f>
        <v>#REF!</v>
      </c>
      <c r="GV31" s="34" t="e">
        <f>AND(#REF!,"AAAAAHeev8s=")</f>
        <v>#REF!</v>
      </c>
      <c r="GW31" s="34" t="e">
        <f>AND(#REF!,"AAAAAHeev8w=")</f>
        <v>#REF!</v>
      </c>
      <c r="GX31" s="34" t="e">
        <f>AND(#REF!,"AAAAAHeev80=")</f>
        <v>#REF!</v>
      </c>
      <c r="GY31" s="34" t="e">
        <f>AND(#REF!,"AAAAAHeev84=")</f>
        <v>#REF!</v>
      </c>
      <c r="GZ31" s="34" t="e">
        <f>AND(#REF!,"AAAAAHeev88=")</f>
        <v>#REF!</v>
      </c>
      <c r="HA31" s="34" t="e">
        <f>AND(#REF!,"AAAAAHeev9A=")</f>
        <v>#REF!</v>
      </c>
      <c r="HB31" s="34" t="e">
        <f>AND(#REF!,"AAAAAHeev9E=")</f>
        <v>#REF!</v>
      </c>
      <c r="HC31" s="34" t="e">
        <f>AND(#REF!,"AAAAAHeev9I=")</f>
        <v>#REF!</v>
      </c>
      <c r="HD31" s="34" t="e">
        <f>AND(#REF!,"AAAAAHeev9M=")</f>
        <v>#REF!</v>
      </c>
      <c r="HE31" s="34" t="e">
        <f>AND(#REF!,"AAAAAHeev9Q=")</f>
        <v>#REF!</v>
      </c>
      <c r="HF31" s="34" t="e">
        <f>AND(#REF!,"AAAAAHeev9U=")</f>
        <v>#REF!</v>
      </c>
      <c r="HG31" s="34" t="e">
        <f>AND(#REF!,"AAAAAHeev9Y=")</f>
        <v>#REF!</v>
      </c>
      <c r="HH31" s="34" t="e">
        <f>AND(#REF!,"AAAAAHeev9c=")</f>
        <v>#REF!</v>
      </c>
      <c r="HI31" s="34" t="e">
        <f>AND(#REF!,"AAAAAHeev9g=")</f>
        <v>#REF!</v>
      </c>
      <c r="HJ31" s="34" t="e">
        <f>AND(#REF!,"AAAAAHeev9k=")</f>
        <v>#REF!</v>
      </c>
      <c r="HK31" s="34" t="e">
        <f>AND(#REF!,"AAAAAHeev9o=")</f>
        <v>#REF!</v>
      </c>
      <c r="HL31" s="34" t="e">
        <f>AND(#REF!,"AAAAAHeev9s=")</f>
        <v>#REF!</v>
      </c>
      <c r="HM31" s="34" t="e">
        <f>AND(#REF!,"AAAAAHeev9w=")</f>
        <v>#REF!</v>
      </c>
      <c r="HN31" s="34" t="e">
        <f>AND(#REF!,"AAAAAHeev90=")</f>
        <v>#REF!</v>
      </c>
      <c r="HO31" s="34" t="e">
        <f>AND(#REF!,"AAAAAHeev94=")</f>
        <v>#REF!</v>
      </c>
      <c r="HP31" s="34" t="e">
        <f>AND(#REF!,"AAAAAHeev98=")</f>
        <v>#REF!</v>
      </c>
      <c r="HQ31" s="34" t="e">
        <f>AND(#REF!,"AAAAAHeev+A=")</f>
        <v>#REF!</v>
      </c>
      <c r="HR31" s="34" t="e">
        <f>AND(#REF!,"AAAAAHeev+E=")</f>
        <v>#REF!</v>
      </c>
      <c r="HS31" s="34" t="e">
        <f>AND(#REF!,"AAAAAHeev+I=")</f>
        <v>#REF!</v>
      </c>
      <c r="HT31" s="34" t="e">
        <f>AND(#REF!,"AAAAAHeev+M=")</f>
        <v>#REF!</v>
      </c>
      <c r="HU31" s="34" t="e">
        <f>AND(#REF!,"AAAAAHeev+Q=")</f>
        <v>#REF!</v>
      </c>
      <c r="HV31" s="34" t="e">
        <f>IF(#REF!,"AAAAAHeev+U=",0)</f>
        <v>#REF!</v>
      </c>
      <c r="HW31" s="34" t="e">
        <f>AND(#REF!,"AAAAAHeev+Y=")</f>
        <v>#REF!</v>
      </c>
      <c r="HX31" s="34" t="e">
        <f>AND(#REF!,"AAAAAHeev+c=")</f>
        <v>#REF!</v>
      </c>
      <c r="HY31" s="34" t="e">
        <f>AND(#REF!,"AAAAAHeev+g=")</f>
        <v>#REF!</v>
      </c>
      <c r="HZ31" s="34" t="e">
        <f>AND(#REF!,"AAAAAHeev+k=")</f>
        <v>#REF!</v>
      </c>
      <c r="IA31" s="34" t="e">
        <f>AND(#REF!,"AAAAAHeev+o=")</f>
        <v>#REF!</v>
      </c>
      <c r="IB31" s="34" t="e">
        <f>AND(#REF!,"AAAAAHeev+s=")</f>
        <v>#REF!</v>
      </c>
      <c r="IC31" s="34" t="e">
        <f>AND(#REF!,"AAAAAHeev+w=")</f>
        <v>#REF!</v>
      </c>
      <c r="ID31" s="34" t="e">
        <f>AND(#REF!,"AAAAAHeev+0=")</f>
        <v>#REF!</v>
      </c>
      <c r="IE31" s="34" t="e">
        <f>AND(#REF!,"AAAAAHeev+4=")</f>
        <v>#REF!</v>
      </c>
      <c r="IF31" s="34" t="e">
        <f>AND(#REF!,"AAAAAHeev+8=")</f>
        <v>#REF!</v>
      </c>
      <c r="IG31" s="34" t="e">
        <f>AND(#REF!,"AAAAAHeev/A=")</f>
        <v>#REF!</v>
      </c>
      <c r="IH31" s="34" t="e">
        <f>AND(#REF!,"AAAAAHeev/E=")</f>
        <v>#REF!</v>
      </c>
      <c r="II31" s="34" t="e">
        <f>AND(#REF!,"AAAAAHeev/I=")</f>
        <v>#REF!</v>
      </c>
      <c r="IJ31" s="34" t="e">
        <f>AND(#REF!,"AAAAAHeev/M=")</f>
        <v>#REF!</v>
      </c>
      <c r="IK31" s="34" t="e">
        <f>AND(#REF!,"AAAAAHeev/Q=")</f>
        <v>#REF!</v>
      </c>
      <c r="IL31" s="34" t="e">
        <f>AND(#REF!,"AAAAAHeev/U=")</f>
        <v>#REF!</v>
      </c>
      <c r="IM31" s="34" t="e">
        <f>AND(#REF!,"AAAAAHeev/Y=")</f>
        <v>#REF!</v>
      </c>
      <c r="IN31" s="34" t="e">
        <f>AND(#REF!,"AAAAAHeev/c=")</f>
        <v>#REF!</v>
      </c>
      <c r="IO31" s="34" t="e">
        <f>AND(#REF!,"AAAAAHeev/g=")</f>
        <v>#REF!</v>
      </c>
      <c r="IP31" s="34" t="e">
        <f>AND(#REF!,"AAAAAHeev/k=")</f>
        <v>#REF!</v>
      </c>
      <c r="IQ31" s="34" t="e">
        <f>AND(#REF!,"AAAAAHeev/o=")</f>
        <v>#REF!</v>
      </c>
      <c r="IR31" s="34" t="e">
        <f>AND(#REF!,"AAAAAHeev/s=")</f>
        <v>#REF!</v>
      </c>
      <c r="IS31" s="34" t="e">
        <f>AND(#REF!,"AAAAAHeev/w=")</f>
        <v>#REF!</v>
      </c>
      <c r="IT31" s="34" t="e">
        <f>AND(#REF!,"AAAAAHeev/0=")</f>
        <v>#REF!</v>
      </c>
      <c r="IU31" s="34" t="e">
        <f>AND(#REF!,"AAAAAHeev/4=")</f>
        <v>#REF!</v>
      </c>
      <c r="IV31" s="34" t="e">
        <f>AND(#REF!,"AAAAAHeev/8=")</f>
        <v>#REF!</v>
      </c>
    </row>
    <row r="32" spans="1:256" ht="12.75" customHeight="1" x14ac:dyDescent="0.2">
      <c r="A32" s="34" t="e">
        <f>AND(#REF!,"AAAAAD/l1wA=")</f>
        <v>#REF!</v>
      </c>
      <c r="B32" s="34" t="e">
        <f>AND(#REF!,"AAAAAD/l1wE=")</f>
        <v>#REF!</v>
      </c>
      <c r="C32" s="34" t="e">
        <f>AND(#REF!,"AAAAAD/l1wI=")</f>
        <v>#REF!</v>
      </c>
      <c r="D32" s="34" t="e">
        <f>AND(#REF!,"AAAAAD/l1wM=")</f>
        <v>#REF!</v>
      </c>
      <c r="E32" s="34" t="e">
        <f>AND(#REF!,"AAAAAD/l1wQ=")</f>
        <v>#REF!</v>
      </c>
      <c r="F32" s="34" t="e">
        <f>AND(#REF!,"AAAAAD/l1wU=")</f>
        <v>#REF!</v>
      </c>
      <c r="G32" s="34" t="e">
        <f>AND(#REF!,"AAAAAD/l1wY=")</f>
        <v>#REF!</v>
      </c>
      <c r="H32" s="34" t="e">
        <f>AND(#REF!,"AAAAAD/l1wc=")</f>
        <v>#REF!</v>
      </c>
      <c r="I32" s="34" t="e">
        <f>AND(#REF!,"AAAAAD/l1wg=")</f>
        <v>#REF!</v>
      </c>
      <c r="J32" s="34" t="e">
        <f>AND(#REF!,"AAAAAD/l1wk=")</f>
        <v>#REF!</v>
      </c>
      <c r="K32" s="34" t="e">
        <f>AND(#REF!,"AAAAAD/l1wo=")</f>
        <v>#REF!</v>
      </c>
      <c r="L32" s="34" t="e">
        <f>AND(#REF!,"AAAAAD/l1ws=")</f>
        <v>#REF!</v>
      </c>
      <c r="M32" s="34" t="e">
        <f>AND(#REF!,"AAAAAD/l1ww=")</f>
        <v>#REF!</v>
      </c>
      <c r="N32" s="34" t="e">
        <f>AND(#REF!,"AAAAAD/l1w0=")</f>
        <v>#REF!</v>
      </c>
      <c r="O32" s="34" t="e">
        <f>AND(#REF!,"AAAAAD/l1w4=")</f>
        <v>#REF!</v>
      </c>
      <c r="P32" s="34" t="e">
        <f>AND(#REF!,"AAAAAD/l1w8=")</f>
        <v>#REF!</v>
      </c>
      <c r="Q32" s="34" t="e">
        <f>AND(#REF!,"AAAAAD/l1xA=")</f>
        <v>#REF!</v>
      </c>
      <c r="R32" s="34" t="e">
        <f>AND(#REF!,"AAAAAD/l1xE=")</f>
        <v>#REF!</v>
      </c>
      <c r="S32" s="34" t="e">
        <f>AND(#REF!,"AAAAAD/l1xI=")</f>
        <v>#REF!</v>
      </c>
      <c r="T32" s="34" t="e">
        <f>AND(#REF!,"AAAAAD/l1xM=")</f>
        <v>#REF!</v>
      </c>
      <c r="U32" s="34" t="e">
        <f>AND(#REF!,"AAAAAD/l1xQ=")</f>
        <v>#REF!</v>
      </c>
      <c r="V32" s="34" t="e">
        <f>AND(#REF!,"AAAAAD/l1xU=")</f>
        <v>#REF!</v>
      </c>
      <c r="W32" s="34" t="e">
        <f>AND(#REF!,"AAAAAD/l1xY=")</f>
        <v>#REF!</v>
      </c>
      <c r="X32" s="34" t="e">
        <f>AND(#REF!,"AAAAAD/l1xc=")</f>
        <v>#REF!</v>
      </c>
      <c r="Y32" s="34" t="e">
        <f>AND(#REF!,"AAAAAD/l1xg=")</f>
        <v>#REF!</v>
      </c>
      <c r="Z32" s="34" t="e">
        <f>AND(#REF!,"AAAAAD/l1xk=")</f>
        <v>#REF!</v>
      </c>
      <c r="AA32" s="34" t="e">
        <f>AND(#REF!,"AAAAAD/l1xo=")</f>
        <v>#REF!</v>
      </c>
      <c r="AB32" s="34" t="e">
        <f>AND(#REF!,"AAAAAD/l1xs=")</f>
        <v>#REF!</v>
      </c>
      <c r="AC32" s="34" t="e">
        <f>AND(#REF!,"AAAAAD/l1xw=")</f>
        <v>#REF!</v>
      </c>
      <c r="AD32" s="34" t="e">
        <f>AND(#REF!,"AAAAAD/l1x0=")</f>
        <v>#REF!</v>
      </c>
      <c r="AE32" s="34" t="e">
        <f>AND(#REF!,"AAAAAD/l1x4=")</f>
        <v>#REF!</v>
      </c>
      <c r="AF32" s="34" t="e">
        <f>AND(#REF!,"AAAAAD/l1x8=")</f>
        <v>#REF!</v>
      </c>
      <c r="AG32" s="34" t="e">
        <f>AND(#REF!,"AAAAAD/l1yA=")</f>
        <v>#REF!</v>
      </c>
      <c r="AH32" s="34" t="e">
        <f>AND(#REF!,"AAAAAD/l1yE=")</f>
        <v>#REF!</v>
      </c>
      <c r="AI32" s="34" t="e">
        <f>AND(#REF!,"AAAAAD/l1yI=")</f>
        <v>#REF!</v>
      </c>
      <c r="AJ32" s="34" t="e">
        <f>AND(#REF!,"AAAAAD/l1yM=")</f>
        <v>#REF!</v>
      </c>
      <c r="AK32" s="34" t="e">
        <f>AND(#REF!,"AAAAAD/l1yQ=")</f>
        <v>#REF!</v>
      </c>
      <c r="AL32" s="34" t="e">
        <f>AND(#REF!,"AAAAAD/l1yU=")</f>
        <v>#REF!</v>
      </c>
      <c r="AM32" s="34" t="e">
        <f>AND(#REF!,"AAAAAD/l1yY=")</f>
        <v>#REF!</v>
      </c>
      <c r="AN32" s="34" t="e">
        <f>AND(#REF!,"AAAAAD/l1yc=")</f>
        <v>#REF!</v>
      </c>
      <c r="AO32" s="34" t="e">
        <f>AND(#REF!,"AAAAAD/l1yg=")</f>
        <v>#REF!</v>
      </c>
      <c r="AP32" s="34" t="e">
        <f>AND(#REF!,"AAAAAD/l1yk=")</f>
        <v>#REF!</v>
      </c>
      <c r="AQ32" s="34" t="e">
        <f>AND(#REF!,"AAAAAD/l1yo=")</f>
        <v>#REF!</v>
      </c>
      <c r="AR32" s="34" t="e">
        <f>AND(#REF!,"AAAAAD/l1ys=")</f>
        <v>#REF!</v>
      </c>
      <c r="AS32" s="34" t="e">
        <f>AND(#REF!,"AAAAAD/l1yw=")</f>
        <v>#REF!</v>
      </c>
      <c r="AT32" s="34" t="e">
        <f>AND(#REF!,"AAAAAD/l1y0=")</f>
        <v>#REF!</v>
      </c>
      <c r="AU32" s="34" t="e">
        <f>IF(#REF!,"AAAAAD/l1y4=",0)</f>
        <v>#REF!</v>
      </c>
      <c r="AV32" s="34" t="e">
        <f>AND(#REF!,"AAAAAD/l1y8=")</f>
        <v>#REF!</v>
      </c>
      <c r="AW32" s="34" t="e">
        <f>AND(#REF!,"AAAAAD/l1zA=")</f>
        <v>#REF!</v>
      </c>
      <c r="AX32" s="34" t="e">
        <f>AND(#REF!,"AAAAAD/l1zE=")</f>
        <v>#REF!</v>
      </c>
      <c r="AY32" s="34" t="e">
        <f>AND(#REF!,"AAAAAD/l1zI=")</f>
        <v>#REF!</v>
      </c>
      <c r="AZ32" s="34" t="e">
        <f>AND(#REF!,"AAAAAD/l1zM=")</f>
        <v>#REF!</v>
      </c>
      <c r="BA32" s="34" t="e">
        <f>AND(#REF!,"AAAAAD/l1zQ=")</f>
        <v>#REF!</v>
      </c>
      <c r="BB32" s="34" t="e">
        <f>AND(#REF!,"AAAAAD/l1zU=")</f>
        <v>#REF!</v>
      </c>
      <c r="BC32" s="34" t="e">
        <f>AND(#REF!,"AAAAAD/l1zY=")</f>
        <v>#REF!</v>
      </c>
      <c r="BD32" s="34" t="e">
        <f>AND(#REF!,"AAAAAD/l1zc=")</f>
        <v>#REF!</v>
      </c>
      <c r="BE32" s="34" t="e">
        <f>AND(#REF!,"AAAAAD/l1zg=")</f>
        <v>#REF!</v>
      </c>
      <c r="BF32" s="34" t="e">
        <f>AND(#REF!,"AAAAAD/l1zk=")</f>
        <v>#REF!</v>
      </c>
      <c r="BG32" s="34" t="e">
        <f>AND(#REF!,"AAAAAD/l1zo=")</f>
        <v>#REF!</v>
      </c>
      <c r="BH32" s="34" t="e">
        <f>AND(#REF!,"AAAAAD/l1zs=")</f>
        <v>#REF!</v>
      </c>
      <c r="BI32" s="34" t="e">
        <f>AND(#REF!,"AAAAAD/l1zw=")</f>
        <v>#REF!</v>
      </c>
      <c r="BJ32" s="34" t="e">
        <f>AND(#REF!,"AAAAAD/l1z0=")</f>
        <v>#REF!</v>
      </c>
      <c r="BK32" s="34" t="e">
        <f>AND(#REF!,"AAAAAD/l1z4=")</f>
        <v>#REF!</v>
      </c>
      <c r="BL32" s="34" t="e">
        <f>AND(#REF!,"AAAAAD/l1z8=")</f>
        <v>#REF!</v>
      </c>
      <c r="BM32" s="34" t="e">
        <f>AND(#REF!,"AAAAAD/l10A=")</f>
        <v>#REF!</v>
      </c>
      <c r="BN32" s="34" t="e">
        <f>AND(#REF!,"AAAAAD/l10E=")</f>
        <v>#REF!</v>
      </c>
      <c r="BO32" s="34" t="e">
        <f>AND(#REF!,"AAAAAD/l10I=")</f>
        <v>#REF!</v>
      </c>
      <c r="BP32" s="34" t="e">
        <f>AND(#REF!,"AAAAAD/l10M=")</f>
        <v>#REF!</v>
      </c>
      <c r="BQ32" s="34" t="e">
        <f>AND(#REF!,"AAAAAD/l10Q=")</f>
        <v>#REF!</v>
      </c>
      <c r="BR32" s="34" t="e">
        <f>AND(#REF!,"AAAAAD/l10U=")</f>
        <v>#REF!</v>
      </c>
      <c r="BS32" s="34" t="e">
        <f>AND(#REF!,"AAAAAD/l10Y=")</f>
        <v>#REF!</v>
      </c>
      <c r="BT32" s="34" t="e">
        <f>AND(#REF!,"AAAAAD/l10c=")</f>
        <v>#REF!</v>
      </c>
      <c r="BU32" s="34" t="e">
        <f>AND(#REF!,"AAAAAD/l10g=")</f>
        <v>#REF!</v>
      </c>
      <c r="BV32" s="34" t="e">
        <f>AND(#REF!,"AAAAAD/l10k=")</f>
        <v>#REF!</v>
      </c>
      <c r="BW32" s="34" t="e">
        <f>AND(#REF!,"AAAAAD/l10o=")</f>
        <v>#REF!</v>
      </c>
      <c r="BX32" s="34" t="e">
        <f>AND(#REF!,"AAAAAD/l10s=")</f>
        <v>#REF!</v>
      </c>
      <c r="BY32" s="34" t="e">
        <f>AND(#REF!,"AAAAAD/l10w=")</f>
        <v>#REF!</v>
      </c>
      <c r="BZ32" s="34" t="e">
        <f>AND(#REF!,"AAAAAD/l100=")</f>
        <v>#REF!</v>
      </c>
      <c r="CA32" s="34" t="e">
        <f>AND(#REF!,"AAAAAD/l104=")</f>
        <v>#REF!</v>
      </c>
      <c r="CB32" s="34" t="e">
        <f>AND(#REF!,"AAAAAD/l108=")</f>
        <v>#REF!</v>
      </c>
      <c r="CC32" s="34" t="e">
        <f>AND(#REF!,"AAAAAD/l11A=")</f>
        <v>#REF!</v>
      </c>
      <c r="CD32" s="34" t="e">
        <f>AND(#REF!,"AAAAAD/l11E=")</f>
        <v>#REF!</v>
      </c>
      <c r="CE32" s="34" t="e">
        <f>AND(#REF!,"AAAAAD/l11I=")</f>
        <v>#REF!</v>
      </c>
      <c r="CF32" s="34" t="e">
        <f>AND(#REF!,"AAAAAD/l11M=")</f>
        <v>#REF!</v>
      </c>
      <c r="CG32" s="34" t="e">
        <f>AND(#REF!,"AAAAAD/l11Q=")</f>
        <v>#REF!</v>
      </c>
      <c r="CH32" s="34" t="e">
        <f>AND(#REF!,"AAAAAD/l11U=")</f>
        <v>#REF!</v>
      </c>
      <c r="CI32" s="34" t="e">
        <f>AND(#REF!,"AAAAAD/l11Y=")</f>
        <v>#REF!</v>
      </c>
      <c r="CJ32" s="34" t="e">
        <f>AND(#REF!,"AAAAAD/l11c=")</f>
        <v>#REF!</v>
      </c>
      <c r="CK32" s="34" t="e">
        <f>AND(#REF!,"AAAAAD/l11g=")</f>
        <v>#REF!</v>
      </c>
      <c r="CL32" s="34" t="e">
        <f>AND(#REF!,"AAAAAD/l11k=")</f>
        <v>#REF!</v>
      </c>
      <c r="CM32" s="34" t="e">
        <f>AND(#REF!,"AAAAAD/l11o=")</f>
        <v>#REF!</v>
      </c>
      <c r="CN32" s="34" t="e">
        <f>AND(#REF!,"AAAAAD/l11s=")</f>
        <v>#REF!</v>
      </c>
      <c r="CO32" s="34" t="e">
        <f>AND(#REF!,"AAAAAD/l11w=")</f>
        <v>#REF!</v>
      </c>
      <c r="CP32" s="34" t="e">
        <f>AND(#REF!,"AAAAAD/l110=")</f>
        <v>#REF!</v>
      </c>
      <c r="CQ32" s="34" t="e">
        <f>AND(#REF!,"AAAAAD/l114=")</f>
        <v>#REF!</v>
      </c>
      <c r="CR32" s="34" t="e">
        <f>AND(#REF!,"AAAAAD/l118=")</f>
        <v>#REF!</v>
      </c>
      <c r="CS32" s="34" t="e">
        <f>AND(#REF!,"AAAAAD/l12A=")</f>
        <v>#REF!</v>
      </c>
      <c r="CT32" s="34" t="e">
        <f>AND(#REF!,"AAAAAD/l12E=")</f>
        <v>#REF!</v>
      </c>
      <c r="CU32" s="34" t="e">
        <f>AND(#REF!,"AAAAAD/l12I=")</f>
        <v>#REF!</v>
      </c>
      <c r="CV32" s="34" t="e">
        <f>AND(#REF!,"AAAAAD/l12M=")</f>
        <v>#REF!</v>
      </c>
      <c r="CW32" s="34" t="e">
        <f>AND(#REF!,"AAAAAD/l12Q=")</f>
        <v>#REF!</v>
      </c>
      <c r="CX32" s="34" t="e">
        <f>AND(#REF!,"AAAAAD/l12U=")</f>
        <v>#REF!</v>
      </c>
      <c r="CY32" s="34" t="e">
        <f>AND(#REF!,"AAAAAD/l12Y=")</f>
        <v>#REF!</v>
      </c>
      <c r="CZ32" s="34" t="e">
        <f>AND(#REF!,"AAAAAD/l12c=")</f>
        <v>#REF!</v>
      </c>
      <c r="DA32" s="34" t="e">
        <f>AND(#REF!,"AAAAAD/l12g=")</f>
        <v>#REF!</v>
      </c>
      <c r="DB32" s="34" t="e">
        <f>AND(#REF!,"AAAAAD/l12k=")</f>
        <v>#REF!</v>
      </c>
      <c r="DC32" s="34" t="e">
        <f>AND(#REF!,"AAAAAD/l12o=")</f>
        <v>#REF!</v>
      </c>
      <c r="DD32" s="34" t="e">
        <f>AND(#REF!,"AAAAAD/l12s=")</f>
        <v>#REF!</v>
      </c>
      <c r="DE32" s="34" t="e">
        <f>AND(#REF!,"AAAAAD/l12w=")</f>
        <v>#REF!</v>
      </c>
      <c r="DF32" s="34" t="e">
        <f>AND(#REF!,"AAAAAD/l120=")</f>
        <v>#REF!</v>
      </c>
      <c r="DG32" s="34" t="e">
        <f>AND(#REF!,"AAAAAD/l124=")</f>
        <v>#REF!</v>
      </c>
      <c r="DH32" s="34" t="e">
        <f>AND(#REF!,"AAAAAD/l128=")</f>
        <v>#REF!</v>
      </c>
      <c r="DI32" s="34" t="e">
        <f>AND(#REF!,"AAAAAD/l13A=")</f>
        <v>#REF!</v>
      </c>
      <c r="DJ32" s="34" t="e">
        <f>AND(#REF!,"AAAAAD/l13E=")</f>
        <v>#REF!</v>
      </c>
      <c r="DK32" s="34" t="e">
        <f>AND(#REF!,"AAAAAD/l13I=")</f>
        <v>#REF!</v>
      </c>
      <c r="DL32" s="34" t="e">
        <f>AND(#REF!,"AAAAAD/l13M=")</f>
        <v>#REF!</v>
      </c>
      <c r="DM32" s="34" t="e">
        <f>AND(#REF!,"AAAAAD/l13Q=")</f>
        <v>#REF!</v>
      </c>
      <c r="DN32" s="34" t="e">
        <f>AND(#REF!,"AAAAAD/l13U=")</f>
        <v>#REF!</v>
      </c>
      <c r="DO32" s="34" t="e">
        <f>AND(#REF!,"AAAAAD/l13Y=")</f>
        <v>#REF!</v>
      </c>
      <c r="DP32" s="34" t="e">
        <f>IF(#REF!,"AAAAAD/l13c=",0)</f>
        <v>#REF!</v>
      </c>
      <c r="DQ32" s="34" t="e">
        <f>AND(#REF!,"AAAAAD/l13g=")</f>
        <v>#REF!</v>
      </c>
      <c r="DR32" s="34" t="e">
        <f>AND(#REF!,"AAAAAD/l13k=")</f>
        <v>#REF!</v>
      </c>
      <c r="DS32" s="34" t="e">
        <f>AND(#REF!,"AAAAAD/l13o=")</f>
        <v>#REF!</v>
      </c>
      <c r="DT32" s="34" t="e">
        <f>AND(#REF!,"AAAAAD/l13s=")</f>
        <v>#REF!</v>
      </c>
      <c r="DU32" s="34" t="e">
        <f>AND(#REF!,"AAAAAD/l13w=")</f>
        <v>#REF!</v>
      </c>
      <c r="DV32" s="34" t="e">
        <f>AND(#REF!,"AAAAAD/l130=")</f>
        <v>#REF!</v>
      </c>
      <c r="DW32" s="34" t="e">
        <f>AND(#REF!,"AAAAAD/l134=")</f>
        <v>#REF!</v>
      </c>
      <c r="DX32" s="34" t="e">
        <f>AND(#REF!,"AAAAAD/l138=")</f>
        <v>#REF!</v>
      </c>
      <c r="DY32" s="34" t="e">
        <f>AND(#REF!,"AAAAAD/l14A=")</f>
        <v>#REF!</v>
      </c>
      <c r="DZ32" s="34" t="e">
        <f>AND(#REF!,"AAAAAD/l14E=")</f>
        <v>#REF!</v>
      </c>
      <c r="EA32" s="34" t="e">
        <f>AND(#REF!,"AAAAAD/l14I=")</f>
        <v>#REF!</v>
      </c>
      <c r="EB32" s="34" t="e">
        <f>AND(#REF!,"AAAAAD/l14M=")</f>
        <v>#REF!</v>
      </c>
      <c r="EC32" s="34" t="e">
        <f>AND(#REF!,"AAAAAD/l14Q=")</f>
        <v>#REF!</v>
      </c>
      <c r="ED32" s="34" t="e">
        <f>AND(#REF!,"AAAAAD/l14U=")</f>
        <v>#REF!</v>
      </c>
      <c r="EE32" s="34" t="e">
        <f>AND(#REF!,"AAAAAD/l14Y=")</f>
        <v>#REF!</v>
      </c>
      <c r="EF32" s="34" t="e">
        <f>AND(#REF!,"AAAAAD/l14c=")</f>
        <v>#REF!</v>
      </c>
      <c r="EG32" s="34" t="e">
        <f>AND(#REF!,"AAAAAD/l14g=")</f>
        <v>#REF!</v>
      </c>
      <c r="EH32" s="34" t="e">
        <f>AND(#REF!,"AAAAAD/l14k=")</f>
        <v>#REF!</v>
      </c>
      <c r="EI32" s="34" t="e">
        <f>AND(#REF!,"AAAAAD/l14o=")</f>
        <v>#REF!</v>
      </c>
      <c r="EJ32" s="34" t="e">
        <f>AND(#REF!,"AAAAAD/l14s=")</f>
        <v>#REF!</v>
      </c>
      <c r="EK32" s="34" t="e">
        <f>AND(#REF!,"AAAAAD/l14w=")</f>
        <v>#REF!</v>
      </c>
      <c r="EL32" s="34" t="e">
        <f>AND(#REF!,"AAAAAD/l140=")</f>
        <v>#REF!</v>
      </c>
      <c r="EM32" s="34" t="e">
        <f>AND(#REF!,"AAAAAD/l144=")</f>
        <v>#REF!</v>
      </c>
      <c r="EN32" s="34" t="e">
        <f>AND(#REF!,"AAAAAD/l148=")</f>
        <v>#REF!</v>
      </c>
      <c r="EO32" s="34" t="e">
        <f>AND(#REF!,"AAAAAD/l15A=")</f>
        <v>#REF!</v>
      </c>
      <c r="EP32" s="34" t="e">
        <f>AND(#REF!,"AAAAAD/l15E=")</f>
        <v>#REF!</v>
      </c>
      <c r="EQ32" s="34" t="e">
        <f>AND(#REF!,"AAAAAD/l15I=")</f>
        <v>#REF!</v>
      </c>
      <c r="ER32" s="34" t="e">
        <f>AND(#REF!,"AAAAAD/l15M=")</f>
        <v>#REF!</v>
      </c>
      <c r="ES32" s="34" t="e">
        <f>AND(#REF!,"AAAAAD/l15Q=")</f>
        <v>#REF!</v>
      </c>
      <c r="ET32" s="34" t="e">
        <f>AND(#REF!,"AAAAAD/l15U=")</f>
        <v>#REF!</v>
      </c>
      <c r="EU32" s="34" t="e">
        <f>AND(#REF!,"AAAAAD/l15Y=")</f>
        <v>#REF!</v>
      </c>
      <c r="EV32" s="34" t="e">
        <f>AND(#REF!,"AAAAAD/l15c=")</f>
        <v>#REF!</v>
      </c>
      <c r="EW32" s="34" t="e">
        <f>AND(#REF!,"AAAAAD/l15g=")</f>
        <v>#REF!</v>
      </c>
      <c r="EX32" s="34" t="e">
        <f>AND(#REF!,"AAAAAD/l15k=")</f>
        <v>#REF!</v>
      </c>
      <c r="EY32" s="34" t="e">
        <f>AND(#REF!,"AAAAAD/l15o=")</f>
        <v>#REF!</v>
      </c>
      <c r="EZ32" s="34" t="e">
        <f>AND(#REF!,"AAAAAD/l15s=")</f>
        <v>#REF!</v>
      </c>
      <c r="FA32" s="34" t="e">
        <f>AND(#REF!,"AAAAAD/l15w=")</f>
        <v>#REF!</v>
      </c>
      <c r="FB32" s="34" t="e">
        <f>AND(#REF!,"AAAAAD/l150=")</f>
        <v>#REF!</v>
      </c>
      <c r="FC32" s="34" t="e">
        <f>AND(#REF!,"AAAAAD/l154=")</f>
        <v>#REF!</v>
      </c>
      <c r="FD32" s="34" t="e">
        <f>AND(#REF!,"AAAAAD/l158=")</f>
        <v>#REF!</v>
      </c>
      <c r="FE32" s="34" t="e">
        <f>AND(#REF!,"AAAAAD/l16A=")</f>
        <v>#REF!</v>
      </c>
      <c r="FF32" s="34" t="e">
        <f>AND(#REF!,"AAAAAD/l16E=")</f>
        <v>#REF!</v>
      </c>
      <c r="FG32" s="34" t="e">
        <f>AND(#REF!,"AAAAAD/l16I=")</f>
        <v>#REF!</v>
      </c>
      <c r="FH32" s="34" t="e">
        <f>AND(#REF!,"AAAAAD/l16M=")</f>
        <v>#REF!</v>
      </c>
      <c r="FI32" s="34" t="e">
        <f>AND(#REF!,"AAAAAD/l16Q=")</f>
        <v>#REF!</v>
      </c>
      <c r="FJ32" s="34" t="e">
        <f>AND(#REF!,"AAAAAD/l16U=")</f>
        <v>#REF!</v>
      </c>
      <c r="FK32" s="34" t="e">
        <f>AND(#REF!,"AAAAAD/l16Y=")</f>
        <v>#REF!</v>
      </c>
      <c r="FL32" s="34" t="e">
        <f>AND(#REF!,"AAAAAD/l16c=")</f>
        <v>#REF!</v>
      </c>
      <c r="FM32" s="34" t="e">
        <f>AND(#REF!,"AAAAAD/l16g=")</f>
        <v>#REF!</v>
      </c>
      <c r="FN32" s="34" t="e">
        <f>AND(#REF!,"AAAAAD/l16k=")</f>
        <v>#REF!</v>
      </c>
      <c r="FO32" s="34" t="e">
        <f>AND(#REF!,"AAAAAD/l16o=")</f>
        <v>#REF!</v>
      </c>
      <c r="FP32" s="34" t="e">
        <f>AND(#REF!,"AAAAAD/l16s=")</f>
        <v>#REF!</v>
      </c>
      <c r="FQ32" s="34" t="e">
        <f>AND(#REF!,"AAAAAD/l16w=")</f>
        <v>#REF!</v>
      </c>
      <c r="FR32" s="34" t="e">
        <f>AND(#REF!,"AAAAAD/l160=")</f>
        <v>#REF!</v>
      </c>
      <c r="FS32" s="34" t="e">
        <f>AND(#REF!,"AAAAAD/l164=")</f>
        <v>#REF!</v>
      </c>
      <c r="FT32" s="34" t="e">
        <f>AND(#REF!,"AAAAAD/l168=")</f>
        <v>#REF!</v>
      </c>
      <c r="FU32" s="34" t="e">
        <f>AND(#REF!,"AAAAAD/l17A=")</f>
        <v>#REF!</v>
      </c>
      <c r="FV32" s="34" t="e">
        <f>AND(#REF!,"AAAAAD/l17E=")</f>
        <v>#REF!</v>
      </c>
      <c r="FW32" s="34" t="e">
        <f>AND(#REF!,"AAAAAD/l17I=")</f>
        <v>#REF!</v>
      </c>
      <c r="FX32" s="34" t="e">
        <f>AND(#REF!,"AAAAAD/l17M=")</f>
        <v>#REF!</v>
      </c>
      <c r="FY32" s="34" t="e">
        <f>AND(#REF!,"AAAAAD/l17Q=")</f>
        <v>#REF!</v>
      </c>
      <c r="FZ32" s="34" t="e">
        <f>AND(#REF!,"AAAAAD/l17U=")</f>
        <v>#REF!</v>
      </c>
      <c r="GA32" s="34" t="e">
        <f>AND(#REF!,"AAAAAD/l17Y=")</f>
        <v>#REF!</v>
      </c>
      <c r="GB32" s="34" t="e">
        <f>AND(#REF!,"AAAAAD/l17c=")</f>
        <v>#REF!</v>
      </c>
      <c r="GC32" s="34" t="e">
        <f>AND(#REF!,"AAAAAD/l17g=")</f>
        <v>#REF!</v>
      </c>
      <c r="GD32" s="34" t="e">
        <f>AND(#REF!,"AAAAAD/l17k=")</f>
        <v>#REF!</v>
      </c>
      <c r="GE32" s="34" t="e">
        <f>AND(#REF!,"AAAAAD/l17o=")</f>
        <v>#REF!</v>
      </c>
      <c r="GF32" s="34" t="e">
        <f>AND(#REF!,"AAAAAD/l17s=")</f>
        <v>#REF!</v>
      </c>
      <c r="GG32" s="34" t="e">
        <f>AND(#REF!,"AAAAAD/l17w=")</f>
        <v>#REF!</v>
      </c>
      <c r="GH32" s="34" t="e">
        <f>AND(#REF!,"AAAAAD/l170=")</f>
        <v>#REF!</v>
      </c>
      <c r="GI32" s="34" t="e">
        <f>AND(#REF!,"AAAAAD/l174=")</f>
        <v>#REF!</v>
      </c>
      <c r="GJ32" s="34" t="e">
        <f>AND(#REF!,"AAAAAD/l178=")</f>
        <v>#REF!</v>
      </c>
      <c r="GK32" s="34" t="e">
        <f>IF(#REF!,"AAAAAD/l18A=",0)</f>
        <v>#REF!</v>
      </c>
      <c r="GL32" s="34" t="e">
        <f>AND(#REF!,"AAAAAD/l18E=")</f>
        <v>#REF!</v>
      </c>
      <c r="GM32" s="34" t="e">
        <f>AND(#REF!,"AAAAAD/l18I=")</f>
        <v>#REF!</v>
      </c>
      <c r="GN32" s="34" t="e">
        <f>AND(#REF!,"AAAAAD/l18M=")</f>
        <v>#REF!</v>
      </c>
      <c r="GO32" s="34" t="e">
        <f>AND(#REF!,"AAAAAD/l18Q=")</f>
        <v>#REF!</v>
      </c>
      <c r="GP32" s="34" t="e">
        <f>AND(#REF!,"AAAAAD/l18U=")</f>
        <v>#REF!</v>
      </c>
      <c r="GQ32" s="34" t="e">
        <f>AND(#REF!,"AAAAAD/l18Y=")</f>
        <v>#REF!</v>
      </c>
      <c r="GR32" s="34" t="e">
        <f>AND(#REF!,"AAAAAD/l18c=")</f>
        <v>#REF!</v>
      </c>
      <c r="GS32" s="34" t="e">
        <f>AND(#REF!,"AAAAAD/l18g=")</f>
        <v>#REF!</v>
      </c>
      <c r="GT32" s="34" t="e">
        <f>AND(#REF!,"AAAAAD/l18k=")</f>
        <v>#REF!</v>
      </c>
      <c r="GU32" s="34" t="e">
        <f>AND(#REF!,"AAAAAD/l18o=")</f>
        <v>#REF!</v>
      </c>
      <c r="GV32" s="34" t="e">
        <f>AND(#REF!,"AAAAAD/l18s=")</f>
        <v>#REF!</v>
      </c>
      <c r="GW32" s="34" t="e">
        <f>AND(#REF!,"AAAAAD/l18w=")</f>
        <v>#REF!</v>
      </c>
      <c r="GX32" s="34" t="e">
        <f>AND(#REF!,"AAAAAD/l180=")</f>
        <v>#REF!</v>
      </c>
      <c r="GY32" s="34" t="e">
        <f>AND(#REF!,"AAAAAD/l184=")</f>
        <v>#REF!</v>
      </c>
      <c r="GZ32" s="34" t="e">
        <f>AND(#REF!,"AAAAAD/l188=")</f>
        <v>#REF!</v>
      </c>
      <c r="HA32" s="34" t="e">
        <f>AND(#REF!,"AAAAAD/l19A=")</f>
        <v>#REF!</v>
      </c>
      <c r="HB32" s="34" t="e">
        <f>AND(#REF!,"AAAAAD/l19E=")</f>
        <v>#REF!</v>
      </c>
      <c r="HC32" s="34" t="e">
        <f>AND(#REF!,"AAAAAD/l19I=")</f>
        <v>#REF!</v>
      </c>
      <c r="HD32" s="34" t="e">
        <f>AND(#REF!,"AAAAAD/l19M=")</f>
        <v>#REF!</v>
      </c>
      <c r="HE32" s="34" t="e">
        <f>AND(#REF!,"AAAAAD/l19Q=")</f>
        <v>#REF!</v>
      </c>
      <c r="HF32" s="34" t="e">
        <f>AND(#REF!,"AAAAAD/l19U=")</f>
        <v>#REF!</v>
      </c>
      <c r="HG32" s="34" t="e">
        <f>AND(#REF!,"AAAAAD/l19Y=")</f>
        <v>#REF!</v>
      </c>
      <c r="HH32" s="34" t="e">
        <f>AND(#REF!,"AAAAAD/l19c=")</f>
        <v>#REF!</v>
      </c>
      <c r="HI32" s="34" t="e">
        <f>AND(#REF!,"AAAAAD/l19g=")</f>
        <v>#REF!</v>
      </c>
      <c r="HJ32" s="34" t="e">
        <f>AND(#REF!,"AAAAAD/l19k=")</f>
        <v>#REF!</v>
      </c>
      <c r="HK32" s="34" t="e">
        <f>AND(#REF!,"AAAAAD/l19o=")</f>
        <v>#REF!</v>
      </c>
      <c r="HL32" s="34" t="e">
        <f>AND(#REF!,"AAAAAD/l19s=")</f>
        <v>#REF!</v>
      </c>
      <c r="HM32" s="34" t="e">
        <f>AND(#REF!,"AAAAAD/l19w=")</f>
        <v>#REF!</v>
      </c>
      <c r="HN32" s="34" t="e">
        <f>AND(#REF!,"AAAAAD/l190=")</f>
        <v>#REF!</v>
      </c>
      <c r="HO32" s="34" t="e">
        <f>AND(#REF!,"AAAAAD/l194=")</f>
        <v>#REF!</v>
      </c>
      <c r="HP32" s="34" t="e">
        <f>AND(#REF!,"AAAAAD/l198=")</f>
        <v>#REF!</v>
      </c>
      <c r="HQ32" s="34" t="e">
        <f>AND(#REF!,"AAAAAD/l1+A=")</f>
        <v>#REF!</v>
      </c>
      <c r="HR32" s="34" t="e">
        <f>AND(#REF!,"AAAAAD/l1+E=")</f>
        <v>#REF!</v>
      </c>
      <c r="HS32" s="34" t="e">
        <f>AND(#REF!,"AAAAAD/l1+I=")</f>
        <v>#REF!</v>
      </c>
      <c r="HT32" s="34" t="e">
        <f>AND(#REF!,"AAAAAD/l1+M=")</f>
        <v>#REF!</v>
      </c>
      <c r="HU32" s="34" t="e">
        <f>AND(#REF!,"AAAAAD/l1+Q=")</f>
        <v>#REF!</v>
      </c>
      <c r="HV32" s="34" t="e">
        <f>AND(#REF!,"AAAAAD/l1+U=")</f>
        <v>#REF!</v>
      </c>
      <c r="HW32" s="34" t="e">
        <f>AND(#REF!,"AAAAAD/l1+Y=")</f>
        <v>#REF!</v>
      </c>
      <c r="HX32" s="34" t="e">
        <f>AND(#REF!,"AAAAAD/l1+c=")</f>
        <v>#REF!</v>
      </c>
      <c r="HY32" s="34" t="e">
        <f>AND(#REF!,"AAAAAD/l1+g=")</f>
        <v>#REF!</v>
      </c>
      <c r="HZ32" s="34" t="e">
        <f>AND(#REF!,"AAAAAD/l1+k=")</f>
        <v>#REF!</v>
      </c>
      <c r="IA32" s="34" t="e">
        <f>AND(#REF!,"AAAAAD/l1+o=")</f>
        <v>#REF!</v>
      </c>
      <c r="IB32" s="34" t="e">
        <f>AND(#REF!,"AAAAAD/l1+s=")</f>
        <v>#REF!</v>
      </c>
      <c r="IC32" s="34" t="e">
        <f>AND(#REF!,"AAAAAD/l1+w=")</f>
        <v>#REF!</v>
      </c>
      <c r="ID32" s="34" t="e">
        <f>AND(#REF!,"AAAAAD/l1+0=")</f>
        <v>#REF!</v>
      </c>
      <c r="IE32" s="34" t="e">
        <f>AND(#REF!,"AAAAAD/l1+4=")</f>
        <v>#REF!</v>
      </c>
      <c r="IF32" s="34" t="e">
        <f>AND(#REF!,"AAAAAD/l1+8=")</f>
        <v>#REF!</v>
      </c>
      <c r="IG32" s="34" t="e">
        <f>AND(#REF!,"AAAAAD/l1/A=")</f>
        <v>#REF!</v>
      </c>
      <c r="IH32" s="34" t="e">
        <f>AND(#REF!,"AAAAAD/l1/E=")</f>
        <v>#REF!</v>
      </c>
      <c r="II32" s="34" t="e">
        <f>AND(#REF!,"AAAAAD/l1/I=")</f>
        <v>#REF!</v>
      </c>
      <c r="IJ32" s="34" t="e">
        <f>AND(#REF!,"AAAAAD/l1/M=")</f>
        <v>#REF!</v>
      </c>
      <c r="IK32" s="34" t="e">
        <f>AND(#REF!,"AAAAAD/l1/Q=")</f>
        <v>#REF!</v>
      </c>
      <c r="IL32" s="34" t="e">
        <f>AND(#REF!,"AAAAAD/l1/U=")</f>
        <v>#REF!</v>
      </c>
      <c r="IM32" s="34" t="e">
        <f>AND(#REF!,"AAAAAD/l1/Y=")</f>
        <v>#REF!</v>
      </c>
      <c r="IN32" s="34" t="e">
        <f>AND(#REF!,"AAAAAD/l1/c=")</f>
        <v>#REF!</v>
      </c>
      <c r="IO32" s="34" t="e">
        <f>AND(#REF!,"AAAAAD/l1/g=")</f>
        <v>#REF!</v>
      </c>
      <c r="IP32" s="34" t="e">
        <f>AND(#REF!,"AAAAAD/l1/k=")</f>
        <v>#REF!</v>
      </c>
      <c r="IQ32" s="34" t="e">
        <f>AND(#REF!,"AAAAAD/l1/o=")</f>
        <v>#REF!</v>
      </c>
      <c r="IR32" s="34" t="e">
        <f>AND(#REF!,"AAAAAD/l1/s=")</f>
        <v>#REF!</v>
      </c>
      <c r="IS32" s="34" t="e">
        <f>AND(#REF!,"AAAAAD/l1/w=")</f>
        <v>#REF!</v>
      </c>
      <c r="IT32" s="34" t="e">
        <f>AND(#REF!,"AAAAAD/l1/0=")</f>
        <v>#REF!</v>
      </c>
      <c r="IU32" s="34" t="e">
        <f>AND(#REF!,"AAAAAD/l1/4=")</f>
        <v>#REF!</v>
      </c>
      <c r="IV32" s="34" t="e">
        <f>AND(#REF!,"AAAAAD/l1/8=")</f>
        <v>#REF!</v>
      </c>
    </row>
    <row r="33" spans="1:256" ht="12.75" customHeight="1" x14ac:dyDescent="0.2">
      <c r="A33" s="34" t="e">
        <f>AND(#REF!,"AAAAAF5PVwA=")</f>
        <v>#REF!</v>
      </c>
      <c r="B33" s="34" t="e">
        <f>AND(#REF!,"AAAAAF5PVwE=")</f>
        <v>#REF!</v>
      </c>
      <c r="C33" s="34" t="e">
        <f>AND(#REF!,"AAAAAF5PVwI=")</f>
        <v>#REF!</v>
      </c>
      <c r="D33" s="34" t="e">
        <f>AND(#REF!,"AAAAAF5PVwM=")</f>
        <v>#REF!</v>
      </c>
      <c r="E33" s="34" t="e">
        <f>AND(#REF!,"AAAAAF5PVwQ=")</f>
        <v>#REF!</v>
      </c>
      <c r="F33" s="34" t="e">
        <f>AND(#REF!,"AAAAAF5PVwU=")</f>
        <v>#REF!</v>
      </c>
      <c r="G33" s="34" t="e">
        <f>AND(#REF!,"AAAAAF5PVwY=")</f>
        <v>#REF!</v>
      </c>
      <c r="H33" s="34" t="e">
        <f>AND(#REF!,"AAAAAF5PVwc=")</f>
        <v>#REF!</v>
      </c>
      <c r="I33" s="34" t="e">
        <f>AND(#REF!,"AAAAAF5PVwg=")</f>
        <v>#REF!</v>
      </c>
      <c r="J33" s="34" t="e">
        <f>IF(#REF!,"AAAAAF5PVwk=",0)</f>
        <v>#REF!</v>
      </c>
      <c r="K33" s="34" t="e">
        <f>AND(#REF!,"AAAAAF5PVwo=")</f>
        <v>#REF!</v>
      </c>
      <c r="L33" s="34" t="e">
        <f>AND(#REF!,"AAAAAF5PVws=")</f>
        <v>#REF!</v>
      </c>
      <c r="M33" s="34" t="e">
        <f>AND(#REF!,"AAAAAF5PVww=")</f>
        <v>#REF!</v>
      </c>
      <c r="N33" s="34" t="e">
        <f>AND(#REF!,"AAAAAF5PVw0=")</f>
        <v>#REF!</v>
      </c>
      <c r="O33" s="34" t="e">
        <f>AND(#REF!,"AAAAAF5PVw4=")</f>
        <v>#REF!</v>
      </c>
      <c r="P33" s="34" t="e">
        <f>AND(#REF!,"AAAAAF5PVw8=")</f>
        <v>#REF!</v>
      </c>
      <c r="Q33" s="34" t="e">
        <f>AND(#REF!,"AAAAAF5PVxA=")</f>
        <v>#REF!</v>
      </c>
      <c r="R33" s="34" t="e">
        <f>AND(#REF!,"AAAAAF5PVxE=")</f>
        <v>#REF!</v>
      </c>
      <c r="S33" s="34" t="e">
        <f>AND(#REF!,"AAAAAF5PVxI=")</f>
        <v>#REF!</v>
      </c>
      <c r="T33" s="34" t="e">
        <f>AND(#REF!,"AAAAAF5PVxM=")</f>
        <v>#REF!</v>
      </c>
      <c r="U33" s="34" t="e">
        <f>AND(#REF!,"AAAAAF5PVxQ=")</f>
        <v>#REF!</v>
      </c>
      <c r="V33" s="34" t="e">
        <f>AND(#REF!,"AAAAAF5PVxU=")</f>
        <v>#REF!</v>
      </c>
      <c r="W33" s="34" t="e">
        <f>AND(#REF!,"AAAAAF5PVxY=")</f>
        <v>#REF!</v>
      </c>
      <c r="X33" s="34" t="e">
        <f>AND(#REF!,"AAAAAF5PVxc=")</f>
        <v>#REF!</v>
      </c>
      <c r="Y33" s="34" t="e">
        <f>AND(#REF!,"AAAAAF5PVxg=")</f>
        <v>#REF!</v>
      </c>
      <c r="Z33" s="34" t="e">
        <f>AND(#REF!,"AAAAAF5PVxk=")</f>
        <v>#REF!</v>
      </c>
      <c r="AA33" s="34" t="e">
        <f>AND(#REF!,"AAAAAF5PVxo=")</f>
        <v>#REF!</v>
      </c>
      <c r="AB33" s="34" t="e">
        <f>AND(#REF!,"AAAAAF5PVxs=")</f>
        <v>#REF!</v>
      </c>
      <c r="AC33" s="34" t="e">
        <f>AND(#REF!,"AAAAAF5PVxw=")</f>
        <v>#REF!</v>
      </c>
      <c r="AD33" s="34" t="e">
        <f>AND(#REF!,"AAAAAF5PVx0=")</f>
        <v>#REF!</v>
      </c>
      <c r="AE33" s="34" t="e">
        <f>AND(#REF!,"AAAAAF5PVx4=")</f>
        <v>#REF!</v>
      </c>
      <c r="AF33" s="34" t="e">
        <f>AND(#REF!,"AAAAAF5PVx8=")</f>
        <v>#REF!</v>
      </c>
      <c r="AG33" s="34" t="e">
        <f>AND(#REF!,"AAAAAF5PVyA=")</f>
        <v>#REF!</v>
      </c>
      <c r="AH33" s="34" t="e">
        <f>AND(#REF!,"AAAAAF5PVyE=")</f>
        <v>#REF!</v>
      </c>
      <c r="AI33" s="34" t="e">
        <f>AND(#REF!,"AAAAAF5PVyI=")</f>
        <v>#REF!</v>
      </c>
      <c r="AJ33" s="34" t="e">
        <f>AND(#REF!,"AAAAAF5PVyM=")</f>
        <v>#REF!</v>
      </c>
      <c r="AK33" s="34" t="e">
        <f>AND(#REF!,"AAAAAF5PVyQ=")</f>
        <v>#REF!</v>
      </c>
      <c r="AL33" s="34" t="e">
        <f>AND(#REF!,"AAAAAF5PVyU=")</f>
        <v>#REF!</v>
      </c>
      <c r="AM33" s="34" t="e">
        <f>AND(#REF!,"AAAAAF5PVyY=")</f>
        <v>#REF!</v>
      </c>
      <c r="AN33" s="34" t="e">
        <f>AND(#REF!,"AAAAAF5PVyc=")</f>
        <v>#REF!</v>
      </c>
      <c r="AO33" s="34" t="e">
        <f>AND(#REF!,"AAAAAF5PVyg=")</f>
        <v>#REF!</v>
      </c>
      <c r="AP33" s="34" t="e">
        <f>AND(#REF!,"AAAAAF5PVyk=")</f>
        <v>#REF!</v>
      </c>
      <c r="AQ33" s="34" t="e">
        <f>AND(#REF!,"AAAAAF5PVyo=")</f>
        <v>#REF!</v>
      </c>
      <c r="AR33" s="34" t="e">
        <f>AND(#REF!,"AAAAAF5PVys=")</f>
        <v>#REF!</v>
      </c>
      <c r="AS33" s="34" t="e">
        <f>AND(#REF!,"AAAAAF5PVyw=")</f>
        <v>#REF!</v>
      </c>
      <c r="AT33" s="34" t="e">
        <f>AND(#REF!,"AAAAAF5PVy0=")</f>
        <v>#REF!</v>
      </c>
      <c r="AU33" s="34" t="e">
        <f>AND(#REF!,"AAAAAF5PVy4=")</f>
        <v>#REF!</v>
      </c>
      <c r="AV33" s="34" t="e">
        <f>AND(#REF!,"AAAAAF5PVy8=")</f>
        <v>#REF!</v>
      </c>
      <c r="AW33" s="34" t="e">
        <f>AND(#REF!,"AAAAAF5PVzA=")</f>
        <v>#REF!</v>
      </c>
      <c r="AX33" s="34" t="e">
        <f>AND(#REF!,"AAAAAF5PVzE=")</f>
        <v>#REF!</v>
      </c>
      <c r="AY33" s="34" t="e">
        <f>AND(#REF!,"AAAAAF5PVzI=")</f>
        <v>#REF!</v>
      </c>
      <c r="AZ33" s="34" t="e">
        <f>AND(#REF!,"AAAAAF5PVzM=")</f>
        <v>#REF!</v>
      </c>
      <c r="BA33" s="34" t="e">
        <f>AND(#REF!,"AAAAAF5PVzQ=")</f>
        <v>#REF!</v>
      </c>
      <c r="BB33" s="34" t="e">
        <f>AND(#REF!,"AAAAAF5PVzU=")</f>
        <v>#REF!</v>
      </c>
      <c r="BC33" s="34" t="e">
        <f>AND(#REF!,"AAAAAF5PVzY=")</f>
        <v>#REF!</v>
      </c>
      <c r="BD33" s="34" t="e">
        <f>AND(#REF!,"AAAAAF5PVzc=")</f>
        <v>#REF!</v>
      </c>
      <c r="BE33" s="34" t="e">
        <f>AND(#REF!,"AAAAAF5PVzg=")</f>
        <v>#REF!</v>
      </c>
      <c r="BF33" s="34" t="e">
        <f>AND(#REF!,"AAAAAF5PVzk=")</f>
        <v>#REF!</v>
      </c>
      <c r="BG33" s="34" t="e">
        <f>AND(#REF!,"AAAAAF5PVzo=")</f>
        <v>#REF!</v>
      </c>
      <c r="BH33" s="34" t="e">
        <f>AND(#REF!,"AAAAAF5PVzs=")</f>
        <v>#REF!</v>
      </c>
      <c r="BI33" s="34" t="e">
        <f>AND(#REF!,"AAAAAF5PVzw=")</f>
        <v>#REF!</v>
      </c>
      <c r="BJ33" s="34" t="e">
        <f>AND(#REF!,"AAAAAF5PVz0=")</f>
        <v>#REF!</v>
      </c>
      <c r="BK33" s="34" t="e">
        <f>AND(#REF!,"AAAAAF5PVz4=")</f>
        <v>#REF!</v>
      </c>
      <c r="BL33" s="34" t="e">
        <f>AND(#REF!,"AAAAAF5PVz8=")</f>
        <v>#REF!</v>
      </c>
      <c r="BM33" s="34" t="e">
        <f>AND(#REF!,"AAAAAF5PV0A=")</f>
        <v>#REF!</v>
      </c>
      <c r="BN33" s="34" t="e">
        <f>AND(#REF!,"AAAAAF5PV0E=")</f>
        <v>#REF!</v>
      </c>
      <c r="BO33" s="34" t="e">
        <f>AND(#REF!,"AAAAAF5PV0I=")</f>
        <v>#REF!</v>
      </c>
      <c r="BP33" s="34" t="e">
        <f>AND(#REF!,"AAAAAF5PV0M=")</f>
        <v>#REF!</v>
      </c>
      <c r="BQ33" s="34" t="e">
        <f>AND(#REF!,"AAAAAF5PV0Q=")</f>
        <v>#REF!</v>
      </c>
      <c r="BR33" s="34" t="e">
        <f>AND(#REF!,"AAAAAF5PV0U=")</f>
        <v>#REF!</v>
      </c>
      <c r="BS33" s="34" t="e">
        <f>AND(#REF!,"AAAAAF5PV0Y=")</f>
        <v>#REF!</v>
      </c>
      <c r="BT33" s="34" t="e">
        <f>AND(#REF!,"AAAAAF5PV0c=")</f>
        <v>#REF!</v>
      </c>
      <c r="BU33" s="34" t="e">
        <f>AND(#REF!,"AAAAAF5PV0g=")</f>
        <v>#REF!</v>
      </c>
      <c r="BV33" s="34" t="e">
        <f>AND(#REF!,"AAAAAF5PV0k=")</f>
        <v>#REF!</v>
      </c>
      <c r="BW33" s="34" t="e">
        <f>AND(#REF!,"AAAAAF5PV0o=")</f>
        <v>#REF!</v>
      </c>
      <c r="BX33" s="34" t="e">
        <f>AND(#REF!,"AAAAAF5PV0s=")</f>
        <v>#REF!</v>
      </c>
      <c r="BY33" s="34" t="e">
        <f>AND(#REF!,"AAAAAF5PV0w=")</f>
        <v>#REF!</v>
      </c>
      <c r="BZ33" s="34" t="e">
        <f>AND(#REF!,"AAAAAF5PV00=")</f>
        <v>#REF!</v>
      </c>
      <c r="CA33" s="34" t="e">
        <f>AND(#REF!,"AAAAAF5PV04=")</f>
        <v>#REF!</v>
      </c>
      <c r="CB33" s="34" t="e">
        <f>AND(#REF!,"AAAAAF5PV08=")</f>
        <v>#REF!</v>
      </c>
      <c r="CC33" s="34" t="e">
        <f>AND(#REF!,"AAAAAF5PV1A=")</f>
        <v>#REF!</v>
      </c>
      <c r="CD33" s="34" t="e">
        <f>AND(#REF!,"AAAAAF5PV1E=")</f>
        <v>#REF!</v>
      </c>
      <c r="CE33" s="34" t="e">
        <f>IF(#REF!,"AAAAAF5PV1I=",0)</f>
        <v>#REF!</v>
      </c>
      <c r="CF33" s="34" t="e">
        <f>AND(#REF!,"AAAAAF5PV1M=")</f>
        <v>#REF!</v>
      </c>
      <c r="CG33" s="34" t="e">
        <f>AND(#REF!,"AAAAAF5PV1Q=")</f>
        <v>#REF!</v>
      </c>
      <c r="CH33" s="34" t="e">
        <f>AND(#REF!,"AAAAAF5PV1U=")</f>
        <v>#REF!</v>
      </c>
      <c r="CI33" s="34" t="e">
        <f>AND(#REF!,"AAAAAF5PV1Y=")</f>
        <v>#REF!</v>
      </c>
      <c r="CJ33" s="34" t="e">
        <f>AND(#REF!,"AAAAAF5PV1c=")</f>
        <v>#REF!</v>
      </c>
      <c r="CK33" s="34" t="e">
        <f>AND(#REF!,"AAAAAF5PV1g=")</f>
        <v>#REF!</v>
      </c>
      <c r="CL33" s="34" t="e">
        <f>AND(#REF!,"AAAAAF5PV1k=")</f>
        <v>#REF!</v>
      </c>
      <c r="CM33" s="34" t="e">
        <f>AND(#REF!,"AAAAAF5PV1o=")</f>
        <v>#REF!</v>
      </c>
      <c r="CN33" s="34" t="e">
        <f>AND(#REF!,"AAAAAF5PV1s=")</f>
        <v>#REF!</v>
      </c>
      <c r="CO33" s="34" t="e">
        <f>AND(#REF!,"AAAAAF5PV1w=")</f>
        <v>#REF!</v>
      </c>
      <c r="CP33" s="34" t="e">
        <f>AND(#REF!,"AAAAAF5PV10=")</f>
        <v>#REF!</v>
      </c>
      <c r="CQ33" s="34" t="e">
        <f>AND(#REF!,"AAAAAF5PV14=")</f>
        <v>#REF!</v>
      </c>
      <c r="CR33" s="34" t="e">
        <f>AND(#REF!,"AAAAAF5PV18=")</f>
        <v>#REF!</v>
      </c>
      <c r="CS33" s="34" t="e">
        <f>AND(#REF!,"AAAAAF5PV2A=")</f>
        <v>#REF!</v>
      </c>
      <c r="CT33" s="34" t="e">
        <f>AND(#REF!,"AAAAAF5PV2E=")</f>
        <v>#REF!</v>
      </c>
      <c r="CU33" s="34" t="e">
        <f>AND(#REF!,"AAAAAF5PV2I=")</f>
        <v>#REF!</v>
      </c>
      <c r="CV33" s="34" t="e">
        <f>AND(#REF!,"AAAAAF5PV2M=")</f>
        <v>#REF!</v>
      </c>
      <c r="CW33" s="34" t="e">
        <f>AND(#REF!,"AAAAAF5PV2Q=")</f>
        <v>#REF!</v>
      </c>
      <c r="CX33" s="34" t="e">
        <f>AND(#REF!,"AAAAAF5PV2U=")</f>
        <v>#REF!</v>
      </c>
      <c r="CY33" s="34" t="e">
        <f>AND(#REF!,"AAAAAF5PV2Y=")</f>
        <v>#REF!</v>
      </c>
      <c r="CZ33" s="34" t="e">
        <f>AND(#REF!,"AAAAAF5PV2c=")</f>
        <v>#REF!</v>
      </c>
      <c r="DA33" s="34" t="e">
        <f>AND(#REF!,"AAAAAF5PV2g=")</f>
        <v>#REF!</v>
      </c>
      <c r="DB33" s="34" t="e">
        <f>AND(#REF!,"AAAAAF5PV2k=")</f>
        <v>#REF!</v>
      </c>
      <c r="DC33" s="34" t="e">
        <f>AND(#REF!,"AAAAAF5PV2o=")</f>
        <v>#REF!</v>
      </c>
      <c r="DD33" s="34" t="e">
        <f>AND(#REF!,"AAAAAF5PV2s=")</f>
        <v>#REF!</v>
      </c>
      <c r="DE33" s="34" t="e">
        <f>AND(#REF!,"AAAAAF5PV2w=")</f>
        <v>#REF!</v>
      </c>
      <c r="DF33" s="34" t="e">
        <f>AND(#REF!,"AAAAAF5PV20=")</f>
        <v>#REF!</v>
      </c>
      <c r="DG33" s="34" t="e">
        <f>AND(#REF!,"AAAAAF5PV24=")</f>
        <v>#REF!</v>
      </c>
      <c r="DH33" s="34" t="e">
        <f>AND(#REF!,"AAAAAF5PV28=")</f>
        <v>#REF!</v>
      </c>
      <c r="DI33" s="34" t="e">
        <f>AND(#REF!,"AAAAAF5PV3A=")</f>
        <v>#REF!</v>
      </c>
      <c r="DJ33" s="34" t="e">
        <f>AND(#REF!,"AAAAAF5PV3E=")</f>
        <v>#REF!</v>
      </c>
      <c r="DK33" s="34" t="e">
        <f>AND(#REF!,"AAAAAF5PV3I=")</f>
        <v>#REF!</v>
      </c>
      <c r="DL33" s="34" t="e">
        <f>AND(#REF!,"AAAAAF5PV3M=")</f>
        <v>#REF!</v>
      </c>
      <c r="DM33" s="34" t="e">
        <f>AND(#REF!,"AAAAAF5PV3Q=")</f>
        <v>#REF!</v>
      </c>
      <c r="DN33" s="34" t="e">
        <f>AND(#REF!,"AAAAAF5PV3U=")</f>
        <v>#REF!</v>
      </c>
      <c r="DO33" s="34" t="e">
        <f>AND(#REF!,"AAAAAF5PV3Y=")</f>
        <v>#REF!</v>
      </c>
      <c r="DP33" s="34" t="e">
        <f>AND(#REF!,"AAAAAF5PV3c=")</f>
        <v>#REF!</v>
      </c>
      <c r="DQ33" s="34" t="e">
        <f>AND(#REF!,"AAAAAF5PV3g=")</f>
        <v>#REF!</v>
      </c>
      <c r="DR33" s="34" t="e">
        <f>AND(#REF!,"AAAAAF5PV3k=")</f>
        <v>#REF!</v>
      </c>
      <c r="DS33" s="34" t="e">
        <f>AND(#REF!,"AAAAAF5PV3o=")</f>
        <v>#REF!</v>
      </c>
      <c r="DT33" s="34" t="e">
        <f>AND(#REF!,"AAAAAF5PV3s=")</f>
        <v>#REF!</v>
      </c>
      <c r="DU33" s="34" t="e">
        <f>AND(#REF!,"AAAAAF5PV3w=")</f>
        <v>#REF!</v>
      </c>
      <c r="DV33" s="34" t="e">
        <f>AND(#REF!,"AAAAAF5PV30=")</f>
        <v>#REF!</v>
      </c>
      <c r="DW33" s="34" t="e">
        <f>AND(#REF!,"AAAAAF5PV34=")</f>
        <v>#REF!</v>
      </c>
      <c r="DX33" s="34" t="e">
        <f>AND(#REF!,"AAAAAF5PV38=")</f>
        <v>#REF!</v>
      </c>
      <c r="DY33" s="34" t="e">
        <f>AND(#REF!,"AAAAAF5PV4A=")</f>
        <v>#REF!</v>
      </c>
      <c r="DZ33" s="34" t="e">
        <f>AND(#REF!,"AAAAAF5PV4E=")</f>
        <v>#REF!</v>
      </c>
      <c r="EA33" s="34" t="e">
        <f>AND(#REF!,"AAAAAF5PV4I=")</f>
        <v>#REF!</v>
      </c>
      <c r="EB33" s="34" t="e">
        <f>AND(#REF!,"AAAAAF5PV4M=")</f>
        <v>#REF!</v>
      </c>
      <c r="EC33" s="34" t="e">
        <f>AND(#REF!,"AAAAAF5PV4Q=")</f>
        <v>#REF!</v>
      </c>
      <c r="ED33" s="34" t="e">
        <f>AND(#REF!,"AAAAAF5PV4U=")</f>
        <v>#REF!</v>
      </c>
      <c r="EE33" s="34" t="e">
        <f>AND(#REF!,"AAAAAF5PV4Y=")</f>
        <v>#REF!</v>
      </c>
      <c r="EF33" s="34" t="e">
        <f>AND(#REF!,"AAAAAF5PV4c=")</f>
        <v>#REF!</v>
      </c>
      <c r="EG33" s="34" t="e">
        <f>AND(#REF!,"AAAAAF5PV4g=")</f>
        <v>#REF!</v>
      </c>
      <c r="EH33" s="34" t="e">
        <f>AND(#REF!,"AAAAAF5PV4k=")</f>
        <v>#REF!</v>
      </c>
      <c r="EI33" s="34" t="e">
        <f>AND(#REF!,"AAAAAF5PV4o=")</f>
        <v>#REF!</v>
      </c>
      <c r="EJ33" s="34" t="e">
        <f>AND(#REF!,"AAAAAF5PV4s=")</f>
        <v>#REF!</v>
      </c>
      <c r="EK33" s="34" t="e">
        <f>AND(#REF!,"AAAAAF5PV4w=")</f>
        <v>#REF!</v>
      </c>
      <c r="EL33" s="34" t="e">
        <f>AND(#REF!,"AAAAAF5PV40=")</f>
        <v>#REF!</v>
      </c>
      <c r="EM33" s="34" t="e">
        <f>AND(#REF!,"AAAAAF5PV44=")</f>
        <v>#REF!</v>
      </c>
      <c r="EN33" s="34" t="e">
        <f>AND(#REF!,"AAAAAF5PV48=")</f>
        <v>#REF!</v>
      </c>
      <c r="EO33" s="34" t="e">
        <f>AND(#REF!,"AAAAAF5PV5A=")</f>
        <v>#REF!</v>
      </c>
      <c r="EP33" s="34" t="e">
        <f>AND(#REF!,"AAAAAF5PV5E=")</f>
        <v>#REF!</v>
      </c>
      <c r="EQ33" s="34" t="e">
        <f>AND(#REF!,"AAAAAF5PV5I=")</f>
        <v>#REF!</v>
      </c>
      <c r="ER33" s="34" t="e">
        <f>AND(#REF!,"AAAAAF5PV5M=")</f>
        <v>#REF!</v>
      </c>
      <c r="ES33" s="34" t="e">
        <f>AND(#REF!,"AAAAAF5PV5Q=")</f>
        <v>#REF!</v>
      </c>
      <c r="ET33" s="34" t="e">
        <f>AND(#REF!,"AAAAAF5PV5U=")</f>
        <v>#REF!</v>
      </c>
      <c r="EU33" s="34" t="e">
        <f>AND(#REF!,"AAAAAF5PV5Y=")</f>
        <v>#REF!</v>
      </c>
      <c r="EV33" s="34" t="e">
        <f>AND(#REF!,"AAAAAF5PV5c=")</f>
        <v>#REF!</v>
      </c>
      <c r="EW33" s="34" t="e">
        <f>AND(#REF!,"AAAAAF5PV5g=")</f>
        <v>#REF!</v>
      </c>
      <c r="EX33" s="34" t="e">
        <f>AND(#REF!,"AAAAAF5PV5k=")</f>
        <v>#REF!</v>
      </c>
      <c r="EY33" s="34" t="e">
        <f>AND(#REF!,"AAAAAF5PV5o=")</f>
        <v>#REF!</v>
      </c>
      <c r="EZ33" s="34" t="e">
        <f>IF(#REF!,"AAAAAF5PV5s=",0)</f>
        <v>#REF!</v>
      </c>
      <c r="FA33" s="34" t="e">
        <f>AND(#REF!,"AAAAAF5PV5w=")</f>
        <v>#REF!</v>
      </c>
      <c r="FB33" s="34" t="e">
        <f>AND(#REF!,"AAAAAF5PV50=")</f>
        <v>#REF!</v>
      </c>
      <c r="FC33" s="34" t="e">
        <f>AND(#REF!,"AAAAAF5PV54=")</f>
        <v>#REF!</v>
      </c>
      <c r="FD33" s="34" t="e">
        <f>AND(#REF!,"AAAAAF5PV58=")</f>
        <v>#REF!</v>
      </c>
      <c r="FE33" s="34" t="e">
        <f>AND(#REF!,"AAAAAF5PV6A=")</f>
        <v>#REF!</v>
      </c>
      <c r="FF33" s="34" t="e">
        <f>AND(#REF!,"AAAAAF5PV6E=")</f>
        <v>#REF!</v>
      </c>
      <c r="FG33" s="34" t="e">
        <f>AND(#REF!,"AAAAAF5PV6I=")</f>
        <v>#REF!</v>
      </c>
      <c r="FH33" s="34" t="e">
        <f>AND(#REF!,"AAAAAF5PV6M=")</f>
        <v>#REF!</v>
      </c>
      <c r="FI33" s="34" t="e">
        <f>AND(#REF!,"AAAAAF5PV6Q=")</f>
        <v>#REF!</v>
      </c>
      <c r="FJ33" s="34" t="e">
        <f>AND(#REF!,"AAAAAF5PV6U=")</f>
        <v>#REF!</v>
      </c>
      <c r="FK33" s="34" t="e">
        <f>AND(#REF!,"AAAAAF5PV6Y=")</f>
        <v>#REF!</v>
      </c>
      <c r="FL33" s="34" t="e">
        <f>AND(#REF!,"AAAAAF5PV6c=")</f>
        <v>#REF!</v>
      </c>
      <c r="FM33" s="34" t="e">
        <f>AND(#REF!,"AAAAAF5PV6g=")</f>
        <v>#REF!</v>
      </c>
      <c r="FN33" s="34" t="e">
        <f>AND(#REF!,"AAAAAF5PV6k=")</f>
        <v>#REF!</v>
      </c>
      <c r="FO33" s="34" t="e">
        <f>AND(#REF!,"AAAAAF5PV6o=")</f>
        <v>#REF!</v>
      </c>
      <c r="FP33" s="34" t="e">
        <f>AND(#REF!,"AAAAAF5PV6s=")</f>
        <v>#REF!</v>
      </c>
      <c r="FQ33" s="34" t="e">
        <f>AND(#REF!,"AAAAAF5PV6w=")</f>
        <v>#REF!</v>
      </c>
      <c r="FR33" s="34" t="e">
        <f>AND(#REF!,"AAAAAF5PV60=")</f>
        <v>#REF!</v>
      </c>
      <c r="FS33" s="34" t="e">
        <f>AND(#REF!,"AAAAAF5PV64=")</f>
        <v>#REF!</v>
      </c>
      <c r="FT33" s="34" t="e">
        <f>AND(#REF!,"AAAAAF5PV68=")</f>
        <v>#REF!</v>
      </c>
      <c r="FU33" s="34" t="e">
        <f>AND(#REF!,"AAAAAF5PV7A=")</f>
        <v>#REF!</v>
      </c>
      <c r="FV33" s="34" t="e">
        <f>AND(#REF!,"AAAAAF5PV7E=")</f>
        <v>#REF!</v>
      </c>
      <c r="FW33" s="34" t="e">
        <f>AND(#REF!,"AAAAAF5PV7I=")</f>
        <v>#REF!</v>
      </c>
      <c r="FX33" s="34" t="e">
        <f>AND(#REF!,"AAAAAF5PV7M=")</f>
        <v>#REF!</v>
      </c>
      <c r="FY33" s="34" t="e">
        <f>AND(#REF!,"AAAAAF5PV7Q=")</f>
        <v>#REF!</v>
      </c>
      <c r="FZ33" s="34" t="e">
        <f>AND(#REF!,"AAAAAF5PV7U=")</f>
        <v>#REF!</v>
      </c>
      <c r="GA33" s="34" t="e">
        <f>AND(#REF!,"AAAAAF5PV7Y=")</f>
        <v>#REF!</v>
      </c>
      <c r="GB33" s="34" t="e">
        <f>AND(#REF!,"AAAAAF5PV7c=")</f>
        <v>#REF!</v>
      </c>
      <c r="GC33" s="34" t="e">
        <f>AND(#REF!,"AAAAAF5PV7g=")</f>
        <v>#REF!</v>
      </c>
      <c r="GD33" s="34" t="e">
        <f>AND(#REF!,"AAAAAF5PV7k=")</f>
        <v>#REF!</v>
      </c>
      <c r="GE33" s="34" t="e">
        <f>AND(#REF!,"AAAAAF5PV7o=")</f>
        <v>#REF!</v>
      </c>
      <c r="GF33" s="34" t="e">
        <f>AND(#REF!,"AAAAAF5PV7s=")</f>
        <v>#REF!</v>
      </c>
      <c r="GG33" s="34" t="e">
        <f>AND(#REF!,"AAAAAF5PV7w=")</f>
        <v>#REF!</v>
      </c>
      <c r="GH33" s="34" t="e">
        <f>AND(#REF!,"AAAAAF5PV70=")</f>
        <v>#REF!</v>
      </c>
      <c r="GI33" s="34" t="e">
        <f>AND(#REF!,"AAAAAF5PV74=")</f>
        <v>#REF!</v>
      </c>
      <c r="GJ33" s="34" t="e">
        <f>AND(#REF!,"AAAAAF5PV78=")</f>
        <v>#REF!</v>
      </c>
      <c r="GK33" s="34" t="e">
        <f>AND(#REF!,"AAAAAF5PV8A=")</f>
        <v>#REF!</v>
      </c>
      <c r="GL33" s="34" t="e">
        <f>AND(#REF!,"AAAAAF5PV8E=")</f>
        <v>#REF!</v>
      </c>
      <c r="GM33" s="34" t="e">
        <f>AND(#REF!,"AAAAAF5PV8I=")</f>
        <v>#REF!</v>
      </c>
      <c r="GN33" s="34" t="e">
        <f>AND(#REF!,"AAAAAF5PV8M=")</f>
        <v>#REF!</v>
      </c>
      <c r="GO33" s="34" t="e">
        <f>AND(#REF!,"AAAAAF5PV8Q=")</f>
        <v>#REF!</v>
      </c>
      <c r="GP33" s="34" t="e">
        <f>AND(#REF!,"AAAAAF5PV8U=")</f>
        <v>#REF!</v>
      </c>
      <c r="GQ33" s="34" t="e">
        <f>AND(#REF!,"AAAAAF5PV8Y=")</f>
        <v>#REF!</v>
      </c>
      <c r="GR33" s="34" t="e">
        <f>AND(#REF!,"AAAAAF5PV8c=")</f>
        <v>#REF!</v>
      </c>
      <c r="GS33" s="34" t="e">
        <f>AND(#REF!,"AAAAAF5PV8g=")</f>
        <v>#REF!</v>
      </c>
      <c r="GT33" s="34" t="e">
        <f>AND(#REF!,"AAAAAF5PV8k=")</f>
        <v>#REF!</v>
      </c>
      <c r="GU33" s="34" t="e">
        <f>AND(#REF!,"AAAAAF5PV8o=")</f>
        <v>#REF!</v>
      </c>
      <c r="GV33" s="34" t="e">
        <f>AND(#REF!,"AAAAAF5PV8s=")</f>
        <v>#REF!</v>
      </c>
      <c r="GW33" s="34" t="e">
        <f>AND(#REF!,"AAAAAF5PV8w=")</f>
        <v>#REF!</v>
      </c>
      <c r="GX33" s="34" t="e">
        <f>AND(#REF!,"AAAAAF5PV80=")</f>
        <v>#REF!</v>
      </c>
      <c r="GY33" s="34" t="e">
        <f>AND(#REF!,"AAAAAF5PV84=")</f>
        <v>#REF!</v>
      </c>
      <c r="GZ33" s="34" t="e">
        <f>AND(#REF!,"AAAAAF5PV88=")</f>
        <v>#REF!</v>
      </c>
      <c r="HA33" s="34" t="e">
        <f>AND(#REF!,"AAAAAF5PV9A=")</f>
        <v>#REF!</v>
      </c>
      <c r="HB33" s="34" t="e">
        <f>AND(#REF!,"AAAAAF5PV9E=")</f>
        <v>#REF!</v>
      </c>
      <c r="HC33" s="34" t="e">
        <f>AND(#REF!,"AAAAAF5PV9I=")</f>
        <v>#REF!</v>
      </c>
      <c r="HD33" s="34" t="e">
        <f>AND(#REF!,"AAAAAF5PV9M=")</f>
        <v>#REF!</v>
      </c>
      <c r="HE33" s="34" t="e">
        <f>AND(#REF!,"AAAAAF5PV9Q=")</f>
        <v>#REF!</v>
      </c>
      <c r="HF33" s="34" t="e">
        <f>AND(#REF!,"AAAAAF5PV9U=")</f>
        <v>#REF!</v>
      </c>
      <c r="HG33" s="34" t="e">
        <f>AND(#REF!,"AAAAAF5PV9Y=")</f>
        <v>#REF!</v>
      </c>
      <c r="HH33" s="34" t="e">
        <f>AND(#REF!,"AAAAAF5PV9c=")</f>
        <v>#REF!</v>
      </c>
      <c r="HI33" s="34" t="e">
        <f>AND(#REF!,"AAAAAF5PV9g=")</f>
        <v>#REF!</v>
      </c>
      <c r="HJ33" s="34" t="e">
        <f>AND(#REF!,"AAAAAF5PV9k=")</f>
        <v>#REF!</v>
      </c>
      <c r="HK33" s="34" t="e">
        <f>AND(#REF!,"AAAAAF5PV9o=")</f>
        <v>#REF!</v>
      </c>
      <c r="HL33" s="34" t="e">
        <f>AND(#REF!,"AAAAAF5PV9s=")</f>
        <v>#REF!</v>
      </c>
      <c r="HM33" s="34" t="e">
        <f>AND(#REF!,"AAAAAF5PV9w=")</f>
        <v>#REF!</v>
      </c>
      <c r="HN33" s="34" t="e">
        <f>AND(#REF!,"AAAAAF5PV90=")</f>
        <v>#REF!</v>
      </c>
      <c r="HO33" s="34" t="e">
        <f>AND(#REF!,"AAAAAF5PV94=")</f>
        <v>#REF!</v>
      </c>
      <c r="HP33" s="34" t="e">
        <f>AND(#REF!,"AAAAAF5PV98=")</f>
        <v>#REF!</v>
      </c>
      <c r="HQ33" s="34" t="e">
        <f>AND(#REF!,"AAAAAF5PV+A=")</f>
        <v>#REF!</v>
      </c>
      <c r="HR33" s="34" t="e">
        <f>AND(#REF!,"AAAAAF5PV+E=")</f>
        <v>#REF!</v>
      </c>
      <c r="HS33" s="34" t="e">
        <f>AND(#REF!,"AAAAAF5PV+I=")</f>
        <v>#REF!</v>
      </c>
      <c r="HT33" s="34" t="e">
        <f>AND(#REF!,"AAAAAF5PV+M=")</f>
        <v>#REF!</v>
      </c>
      <c r="HU33" s="34" t="e">
        <f>IF(#REF!,"AAAAAF5PV+Q=",0)</f>
        <v>#REF!</v>
      </c>
      <c r="HV33" s="34" t="e">
        <f>AND(#REF!,"AAAAAF5PV+U=")</f>
        <v>#REF!</v>
      </c>
      <c r="HW33" s="34" t="e">
        <f>AND(#REF!,"AAAAAF5PV+Y=")</f>
        <v>#REF!</v>
      </c>
      <c r="HX33" s="34" t="e">
        <f>AND(#REF!,"AAAAAF5PV+c=")</f>
        <v>#REF!</v>
      </c>
      <c r="HY33" s="34" t="e">
        <f>AND(#REF!,"AAAAAF5PV+g=")</f>
        <v>#REF!</v>
      </c>
      <c r="HZ33" s="34" t="e">
        <f>AND(#REF!,"AAAAAF5PV+k=")</f>
        <v>#REF!</v>
      </c>
      <c r="IA33" s="34" t="e">
        <f>AND(#REF!,"AAAAAF5PV+o=")</f>
        <v>#REF!</v>
      </c>
      <c r="IB33" s="34" t="e">
        <f>AND(#REF!,"AAAAAF5PV+s=")</f>
        <v>#REF!</v>
      </c>
      <c r="IC33" s="34" t="e">
        <f>AND(#REF!,"AAAAAF5PV+w=")</f>
        <v>#REF!</v>
      </c>
      <c r="ID33" s="34" t="e">
        <f>AND(#REF!,"AAAAAF5PV+0=")</f>
        <v>#REF!</v>
      </c>
      <c r="IE33" s="34" t="e">
        <f>AND(#REF!,"AAAAAF5PV+4=")</f>
        <v>#REF!</v>
      </c>
      <c r="IF33" s="34" t="e">
        <f>AND(#REF!,"AAAAAF5PV+8=")</f>
        <v>#REF!</v>
      </c>
      <c r="IG33" s="34" t="e">
        <f>AND(#REF!,"AAAAAF5PV/A=")</f>
        <v>#REF!</v>
      </c>
      <c r="IH33" s="34" t="e">
        <f>AND(#REF!,"AAAAAF5PV/E=")</f>
        <v>#REF!</v>
      </c>
      <c r="II33" s="34" t="e">
        <f>AND(#REF!,"AAAAAF5PV/I=")</f>
        <v>#REF!</v>
      </c>
      <c r="IJ33" s="34" t="e">
        <f>AND(#REF!,"AAAAAF5PV/M=")</f>
        <v>#REF!</v>
      </c>
      <c r="IK33" s="34" t="e">
        <f>AND(#REF!,"AAAAAF5PV/Q=")</f>
        <v>#REF!</v>
      </c>
      <c r="IL33" s="34" t="e">
        <f>AND(#REF!,"AAAAAF5PV/U=")</f>
        <v>#REF!</v>
      </c>
      <c r="IM33" s="34" t="e">
        <f>AND(#REF!,"AAAAAF5PV/Y=")</f>
        <v>#REF!</v>
      </c>
      <c r="IN33" s="34" t="e">
        <f>AND(#REF!,"AAAAAF5PV/c=")</f>
        <v>#REF!</v>
      </c>
      <c r="IO33" s="34" t="e">
        <f>AND(#REF!,"AAAAAF5PV/g=")</f>
        <v>#REF!</v>
      </c>
      <c r="IP33" s="34" t="e">
        <f>AND(#REF!,"AAAAAF5PV/k=")</f>
        <v>#REF!</v>
      </c>
      <c r="IQ33" s="34" t="e">
        <f>AND(#REF!,"AAAAAF5PV/o=")</f>
        <v>#REF!</v>
      </c>
      <c r="IR33" s="34" t="e">
        <f>AND(#REF!,"AAAAAF5PV/s=")</f>
        <v>#REF!</v>
      </c>
      <c r="IS33" s="34" t="e">
        <f>AND(#REF!,"AAAAAF5PV/w=")</f>
        <v>#REF!</v>
      </c>
      <c r="IT33" s="34" t="e">
        <f>AND(#REF!,"AAAAAF5PV/0=")</f>
        <v>#REF!</v>
      </c>
      <c r="IU33" s="34" t="e">
        <f>AND(#REF!,"AAAAAF5PV/4=")</f>
        <v>#REF!</v>
      </c>
      <c r="IV33" s="34" t="e">
        <f>AND(#REF!,"AAAAAF5PV/8=")</f>
        <v>#REF!</v>
      </c>
    </row>
    <row r="34" spans="1:256" ht="12.75" customHeight="1" x14ac:dyDescent="0.2">
      <c r="A34" s="34" t="e">
        <f>AND(#REF!,"AAAAAG/X/wA=")</f>
        <v>#REF!</v>
      </c>
      <c r="B34" s="34" t="e">
        <f>AND(#REF!,"AAAAAG/X/wE=")</f>
        <v>#REF!</v>
      </c>
      <c r="C34" s="34" t="e">
        <f>AND(#REF!,"AAAAAG/X/wI=")</f>
        <v>#REF!</v>
      </c>
      <c r="D34" s="34" t="e">
        <f>AND(#REF!,"AAAAAG/X/wM=")</f>
        <v>#REF!</v>
      </c>
      <c r="E34" s="34" t="e">
        <f>AND(#REF!,"AAAAAG/X/wQ=")</f>
        <v>#REF!</v>
      </c>
      <c r="F34" s="34" t="e">
        <f>AND(#REF!,"AAAAAG/X/wU=")</f>
        <v>#REF!</v>
      </c>
      <c r="G34" s="34" t="e">
        <f>AND(#REF!,"AAAAAG/X/wY=")</f>
        <v>#REF!</v>
      </c>
      <c r="H34" s="34" t="e">
        <f>AND(#REF!,"AAAAAG/X/wc=")</f>
        <v>#REF!</v>
      </c>
      <c r="I34" s="34" t="e">
        <f>AND(#REF!,"AAAAAG/X/wg=")</f>
        <v>#REF!</v>
      </c>
      <c r="J34" s="34" t="e">
        <f>AND(#REF!,"AAAAAG/X/wk=")</f>
        <v>#REF!</v>
      </c>
      <c r="K34" s="34" t="e">
        <f>AND(#REF!,"AAAAAG/X/wo=")</f>
        <v>#REF!</v>
      </c>
      <c r="L34" s="34" t="e">
        <f>AND(#REF!,"AAAAAG/X/ws=")</f>
        <v>#REF!</v>
      </c>
      <c r="M34" s="34" t="e">
        <f>AND(#REF!,"AAAAAG/X/ww=")</f>
        <v>#REF!</v>
      </c>
      <c r="N34" s="34" t="e">
        <f>AND(#REF!,"AAAAAG/X/w0=")</f>
        <v>#REF!</v>
      </c>
      <c r="O34" s="34" t="e">
        <f>AND(#REF!,"AAAAAG/X/w4=")</f>
        <v>#REF!</v>
      </c>
      <c r="P34" s="34" t="e">
        <f>AND(#REF!,"AAAAAG/X/w8=")</f>
        <v>#REF!</v>
      </c>
      <c r="Q34" s="34" t="e">
        <f>AND(#REF!,"AAAAAG/X/xA=")</f>
        <v>#REF!</v>
      </c>
      <c r="R34" s="34" t="e">
        <f>AND(#REF!,"AAAAAG/X/xE=")</f>
        <v>#REF!</v>
      </c>
      <c r="S34" s="34" t="e">
        <f>AND(#REF!,"AAAAAG/X/xI=")</f>
        <v>#REF!</v>
      </c>
      <c r="T34" s="34" t="e">
        <f>AND(#REF!,"AAAAAG/X/xM=")</f>
        <v>#REF!</v>
      </c>
      <c r="U34" s="34" t="e">
        <f>AND(#REF!,"AAAAAG/X/xQ=")</f>
        <v>#REF!</v>
      </c>
      <c r="V34" s="34" t="e">
        <f>AND(#REF!,"AAAAAG/X/xU=")</f>
        <v>#REF!</v>
      </c>
      <c r="W34" s="34" t="e">
        <f>AND(#REF!,"AAAAAG/X/xY=")</f>
        <v>#REF!</v>
      </c>
      <c r="X34" s="34" t="e">
        <f>AND(#REF!,"AAAAAG/X/xc=")</f>
        <v>#REF!</v>
      </c>
      <c r="Y34" s="34" t="e">
        <f>AND(#REF!,"AAAAAG/X/xg=")</f>
        <v>#REF!</v>
      </c>
      <c r="Z34" s="34" t="e">
        <f>AND(#REF!,"AAAAAG/X/xk=")</f>
        <v>#REF!</v>
      </c>
      <c r="AA34" s="34" t="e">
        <f>AND(#REF!,"AAAAAG/X/xo=")</f>
        <v>#REF!</v>
      </c>
      <c r="AB34" s="34" t="e">
        <f>AND(#REF!,"AAAAAG/X/xs=")</f>
        <v>#REF!</v>
      </c>
      <c r="AC34" s="34" t="e">
        <f>AND(#REF!,"AAAAAG/X/xw=")</f>
        <v>#REF!</v>
      </c>
      <c r="AD34" s="34" t="e">
        <f>AND(#REF!,"AAAAAG/X/x0=")</f>
        <v>#REF!</v>
      </c>
      <c r="AE34" s="34" t="e">
        <f>AND(#REF!,"AAAAAG/X/x4=")</f>
        <v>#REF!</v>
      </c>
      <c r="AF34" s="34" t="e">
        <f>AND(#REF!,"AAAAAG/X/x8=")</f>
        <v>#REF!</v>
      </c>
      <c r="AG34" s="34" t="e">
        <f>AND(#REF!,"AAAAAG/X/yA=")</f>
        <v>#REF!</v>
      </c>
      <c r="AH34" s="34" t="e">
        <f>AND(#REF!,"AAAAAG/X/yE=")</f>
        <v>#REF!</v>
      </c>
      <c r="AI34" s="34" t="e">
        <f>AND(#REF!,"AAAAAG/X/yI=")</f>
        <v>#REF!</v>
      </c>
      <c r="AJ34" s="34" t="e">
        <f>AND(#REF!,"AAAAAG/X/yM=")</f>
        <v>#REF!</v>
      </c>
      <c r="AK34" s="34" t="e">
        <f>AND(#REF!,"AAAAAG/X/yQ=")</f>
        <v>#REF!</v>
      </c>
      <c r="AL34" s="34" t="e">
        <f>AND(#REF!,"AAAAAG/X/yU=")</f>
        <v>#REF!</v>
      </c>
      <c r="AM34" s="34" t="e">
        <f>AND(#REF!,"AAAAAG/X/yY=")</f>
        <v>#REF!</v>
      </c>
      <c r="AN34" s="34" t="e">
        <f>AND(#REF!,"AAAAAG/X/yc=")</f>
        <v>#REF!</v>
      </c>
      <c r="AO34" s="34" t="e">
        <f>AND(#REF!,"AAAAAG/X/yg=")</f>
        <v>#REF!</v>
      </c>
      <c r="AP34" s="34" t="e">
        <f>AND(#REF!,"AAAAAG/X/yk=")</f>
        <v>#REF!</v>
      </c>
      <c r="AQ34" s="34" t="e">
        <f>AND(#REF!,"AAAAAG/X/yo=")</f>
        <v>#REF!</v>
      </c>
      <c r="AR34" s="34" t="e">
        <f>AND(#REF!,"AAAAAG/X/ys=")</f>
        <v>#REF!</v>
      </c>
      <c r="AS34" s="34" t="e">
        <f>AND(#REF!,"AAAAAG/X/yw=")</f>
        <v>#REF!</v>
      </c>
      <c r="AT34" s="34" t="e">
        <f>IF(#REF!,"AAAAAG/X/y0=",0)</f>
        <v>#REF!</v>
      </c>
      <c r="AU34" s="34" t="e">
        <f>AND(#REF!,"AAAAAG/X/y4=")</f>
        <v>#REF!</v>
      </c>
      <c r="AV34" s="34" t="e">
        <f>AND(#REF!,"AAAAAG/X/y8=")</f>
        <v>#REF!</v>
      </c>
      <c r="AW34" s="34" t="e">
        <f>AND(#REF!,"AAAAAG/X/zA=")</f>
        <v>#REF!</v>
      </c>
      <c r="AX34" s="34" t="e">
        <f>AND(#REF!,"AAAAAG/X/zE=")</f>
        <v>#REF!</v>
      </c>
      <c r="AY34" s="34" t="e">
        <f>AND(#REF!,"AAAAAG/X/zI=")</f>
        <v>#REF!</v>
      </c>
      <c r="AZ34" s="34" t="e">
        <f>AND(#REF!,"AAAAAG/X/zM=")</f>
        <v>#REF!</v>
      </c>
      <c r="BA34" s="34" t="e">
        <f>AND(#REF!,"AAAAAG/X/zQ=")</f>
        <v>#REF!</v>
      </c>
      <c r="BB34" s="34" t="e">
        <f>AND(#REF!,"AAAAAG/X/zU=")</f>
        <v>#REF!</v>
      </c>
      <c r="BC34" s="34" t="e">
        <f>AND(#REF!,"AAAAAG/X/zY=")</f>
        <v>#REF!</v>
      </c>
      <c r="BD34" s="34" t="e">
        <f>AND(#REF!,"AAAAAG/X/zc=")</f>
        <v>#REF!</v>
      </c>
      <c r="BE34" s="34" t="e">
        <f>AND(#REF!,"AAAAAG/X/zg=")</f>
        <v>#REF!</v>
      </c>
      <c r="BF34" s="34" t="e">
        <f>AND(#REF!,"AAAAAG/X/zk=")</f>
        <v>#REF!</v>
      </c>
      <c r="BG34" s="34" t="e">
        <f>AND(#REF!,"AAAAAG/X/zo=")</f>
        <v>#REF!</v>
      </c>
      <c r="BH34" s="34" t="e">
        <f>AND(#REF!,"AAAAAG/X/zs=")</f>
        <v>#REF!</v>
      </c>
      <c r="BI34" s="34" t="e">
        <f>AND(#REF!,"AAAAAG/X/zw=")</f>
        <v>#REF!</v>
      </c>
      <c r="BJ34" s="34" t="e">
        <f>AND(#REF!,"AAAAAG/X/z0=")</f>
        <v>#REF!</v>
      </c>
      <c r="BK34" s="34" t="e">
        <f>AND(#REF!,"AAAAAG/X/z4=")</f>
        <v>#REF!</v>
      </c>
      <c r="BL34" s="34" t="e">
        <f>AND(#REF!,"AAAAAG/X/z8=")</f>
        <v>#REF!</v>
      </c>
      <c r="BM34" s="34" t="e">
        <f>AND(#REF!,"AAAAAG/X/0A=")</f>
        <v>#REF!</v>
      </c>
      <c r="BN34" s="34" t="e">
        <f>AND(#REF!,"AAAAAG/X/0E=")</f>
        <v>#REF!</v>
      </c>
      <c r="BO34" s="34" t="e">
        <f>AND(#REF!,"AAAAAG/X/0I=")</f>
        <v>#REF!</v>
      </c>
      <c r="BP34" s="34" t="e">
        <f>AND(#REF!,"AAAAAG/X/0M=")</f>
        <v>#REF!</v>
      </c>
      <c r="BQ34" s="34" t="e">
        <f>AND(#REF!,"AAAAAG/X/0Q=")</f>
        <v>#REF!</v>
      </c>
      <c r="BR34" s="34" t="e">
        <f>AND(#REF!,"AAAAAG/X/0U=")</f>
        <v>#REF!</v>
      </c>
      <c r="BS34" s="34" t="e">
        <f>AND(#REF!,"AAAAAG/X/0Y=")</f>
        <v>#REF!</v>
      </c>
      <c r="BT34" s="34" t="e">
        <f>AND(#REF!,"AAAAAG/X/0c=")</f>
        <v>#REF!</v>
      </c>
      <c r="BU34" s="34" t="e">
        <f>AND(#REF!,"AAAAAG/X/0g=")</f>
        <v>#REF!</v>
      </c>
      <c r="BV34" s="34" t="e">
        <f>AND(#REF!,"AAAAAG/X/0k=")</f>
        <v>#REF!</v>
      </c>
      <c r="BW34" s="34" t="e">
        <f>AND(#REF!,"AAAAAG/X/0o=")</f>
        <v>#REF!</v>
      </c>
      <c r="BX34" s="34" t="e">
        <f>AND(#REF!,"AAAAAG/X/0s=")</f>
        <v>#REF!</v>
      </c>
      <c r="BY34" s="34" t="e">
        <f>AND(#REF!,"AAAAAG/X/0w=")</f>
        <v>#REF!</v>
      </c>
      <c r="BZ34" s="34" t="e">
        <f>AND(#REF!,"AAAAAG/X/00=")</f>
        <v>#REF!</v>
      </c>
      <c r="CA34" s="34" t="e">
        <f>AND(#REF!,"AAAAAG/X/04=")</f>
        <v>#REF!</v>
      </c>
      <c r="CB34" s="34" t="e">
        <f>AND(#REF!,"AAAAAG/X/08=")</f>
        <v>#REF!</v>
      </c>
      <c r="CC34" s="34" t="e">
        <f>AND(#REF!,"AAAAAG/X/1A=")</f>
        <v>#REF!</v>
      </c>
      <c r="CD34" s="34" t="e">
        <f>AND(#REF!,"AAAAAG/X/1E=")</f>
        <v>#REF!</v>
      </c>
      <c r="CE34" s="34" t="e">
        <f>AND(#REF!,"AAAAAG/X/1I=")</f>
        <v>#REF!</v>
      </c>
      <c r="CF34" s="34" t="e">
        <f>AND(#REF!,"AAAAAG/X/1M=")</f>
        <v>#REF!</v>
      </c>
      <c r="CG34" s="34" t="e">
        <f>AND(#REF!,"AAAAAG/X/1Q=")</f>
        <v>#REF!</v>
      </c>
      <c r="CH34" s="34" t="e">
        <f>AND(#REF!,"AAAAAG/X/1U=")</f>
        <v>#REF!</v>
      </c>
      <c r="CI34" s="34" t="e">
        <f>AND(#REF!,"AAAAAG/X/1Y=")</f>
        <v>#REF!</v>
      </c>
      <c r="CJ34" s="34" t="e">
        <f>AND(#REF!,"AAAAAG/X/1c=")</f>
        <v>#REF!</v>
      </c>
      <c r="CK34" s="34" t="e">
        <f>AND(#REF!,"AAAAAG/X/1g=")</f>
        <v>#REF!</v>
      </c>
      <c r="CL34" s="34" t="e">
        <f>AND(#REF!,"AAAAAG/X/1k=")</f>
        <v>#REF!</v>
      </c>
      <c r="CM34" s="34" t="e">
        <f>AND(#REF!,"AAAAAG/X/1o=")</f>
        <v>#REF!</v>
      </c>
      <c r="CN34" s="34" t="e">
        <f>AND(#REF!,"AAAAAG/X/1s=")</f>
        <v>#REF!</v>
      </c>
      <c r="CO34" s="34" t="e">
        <f>AND(#REF!,"AAAAAG/X/1w=")</f>
        <v>#REF!</v>
      </c>
      <c r="CP34" s="34" t="e">
        <f>AND(#REF!,"AAAAAG/X/10=")</f>
        <v>#REF!</v>
      </c>
      <c r="CQ34" s="34" t="e">
        <f>AND(#REF!,"AAAAAG/X/14=")</f>
        <v>#REF!</v>
      </c>
      <c r="CR34" s="34" t="e">
        <f>AND(#REF!,"AAAAAG/X/18=")</f>
        <v>#REF!</v>
      </c>
      <c r="CS34" s="34" t="e">
        <f>AND(#REF!,"AAAAAG/X/2A=")</f>
        <v>#REF!</v>
      </c>
      <c r="CT34" s="34" t="e">
        <f>AND(#REF!,"AAAAAG/X/2E=")</f>
        <v>#REF!</v>
      </c>
      <c r="CU34" s="34" t="e">
        <f>AND(#REF!,"AAAAAG/X/2I=")</f>
        <v>#REF!</v>
      </c>
      <c r="CV34" s="34" t="e">
        <f>AND(#REF!,"AAAAAG/X/2M=")</f>
        <v>#REF!</v>
      </c>
      <c r="CW34" s="34" t="e">
        <f>AND(#REF!,"AAAAAG/X/2Q=")</f>
        <v>#REF!</v>
      </c>
      <c r="CX34" s="34" t="e">
        <f>AND(#REF!,"AAAAAG/X/2U=")</f>
        <v>#REF!</v>
      </c>
      <c r="CY34" s="34" t="e">
        <f>AND(#REF!,"AAAAAG/X/2Y=")</f>
        <v>#REF!</v>
      </c>
      <c r="CZ34" s="34" t="e">
        <f>AND(#REF!,"AAAAAG/X/2c=")</f>
        <v>#REF!</v>
      </c>
      <c r="DA34" s="34" t="e">
        <f>AND(#REF!,"AAAAAG/X/2g=")</f>
        <v>#REF!</v>
      </c>
      <c r="DB34" s="34" t="e">
        <f>AND(#REF!,"AAAAAG/X/2k=")</f>
        <v>#REF!</v>
      </c>
      <c r="DC34" s="34" t="e">
        <f>AND(#REF!,"AAAAAG/X/2o=")</f>
        <v>#REF!</v>
      </c>
      <c r="DD34" s="34" t="e">
        <f>AND(#REF!,"AAAAAG/X/2s=")</f>
        <v>#REF!</v>
      </c>
      <c r="DE34" s="34" t="e">
        <f>AND(#REF!,"AAAAAG/X/2w=")</f>
        <v>#REF!</v>
      </c>
      <c r="DF34" s="34" t="e">
        <f>AND(#REF!,"AAAAAG/X/20=")</f>
        <v>#REF!</v>
      </c>
      <c r="DG34" s="34" t="e">
        <f>AND(#REF!,"AAAAAG/X/24=")</f>
        <v>#REF!</v>
      </c>
      <c r="DH34" s="34" t="e">
        <f>AND(#REF!,"AAAAAG/X/28=")</f>
        <v>#REF!</v>
      </c>
      <c r="DI34" s="34" t="e">
        <f>AND(#REF!,"AAAAAG/X/3A=")</f>
        <v>#REF!</v>
      </c>
      <c r="DJ34" s="34" t="e">
        <f>AND(#REF!,"AAAAAG/X/3E=")</f>
        <v>#REF!</v>
      </c>
      <c r="DK34" s="34" t="e">
        <f>AND(#REF!,"AAAAAG/X/3I=")</f>
        <v>#REF!</v>
      </c>
      <c r="DL34" s="34" t="e">
        <f>AND(#REF!,"AAAAAG/X/3M=")</f>
        <v>#REF!</v>
      </c>
      <c r="DM34" s="34" t="e">
        <f>AND(#REF!,"AAAAAG/X/3Q=")</f>
        <v>#REF!</v>
      </c>
      <c r="DN34" s="34" t="e">
        <f>AND(#REF!,"AAAAAG/X/3U=")</f>
        <v>#REF!</v>
      </c>
      <c r="DO34" s="34" t="e">
        <f>IF(#REF!,"AAAAAG/X/3Y=",0)</f>
        <v>#REF!</v>
      </c>
      <c r="DP34" s="34" t="e">
        <f>AND(#REF!,"AAAAAG/X/3c=")</f>
        <v>#REF!</v>
      </c>
      <c r="DQ34" s="34" t="e">
        <f>AND(#REF!,"AAAAAG/X/3g=")</f>
        <v>#REF!</v>
      </c>
      <c r="DR34" s="34" t="e">
        <f>AND(#REF!,"AAAAAG/X/3k=")</f>
        <v>#REF!</v>
      </c>
      <c r="DS34" s="34" t="e">
        <f>AND(#REF!,"AAAAAG/X/3o=")</f>
        <v>#REF!</v>
      </c>
      <c r="DT34" s="34" t="e">
        <f>AND(#REF!,"AAAAAG/X/3s=")</f>
        <v>#REF!</v>
      </c>
      <c r="DU34" s="34" t="e">
        <f>AND(#REF!,"AAAAAG/X/3w=")</f>
        <v>#REF!</v>
      </c>
      <c r="DV34" s="34" t="e">
        <f>AND(#REF!,"AAAAAG/X/30=")</f>
        <v>#REF!</v>
      </c>
      <c r="DW34" s="34" t="e">
        <f>AND(#REF!,"AAAAAG/X/34=")</f>
        <v>#REF!</v>
      </c>
      <c r="DX34" s="34" t="e">
        <f>AND(#REF!,"AAAAAG/X/38=")</f>
        <v>#REF!</v>
      </c>
      <c r="DY34" s="34" t="e">
        <f>AND(#REF!,"AAAAAG/X/4A=")</f>
        <v>#REF!</v>
      </c>
      <c r="DZ34" s="34" t="e">
        <f>AND(#REF!,"AAAAAG/X/4E=")</f>
        <v>#REF!</v>
      </c>
      <c r="EA34" s="34" t="e">
        <f>AND(#REF!,"AAAAAG/X/4I=")</f>
        <v>#REF!</v>
      </c>
      <c r="EB34" s="34" t="e">
        <f>AND(#REF!,"AAAAAG/X/4M=")</f>
        <v>#REF!</v>
      </c>
      <c r="EC34" s="34" t="e">
        <f>AND(#REF!,"AAAAAG/X/4Q=")</f>
        <v>#REF!</v>
      </c>
      <c r="ED34" s="34" t="e">
        <f>AND(#REF!,"AAAAAG/X/4U=")</f>
        <v>#REF!</v>
      </c>
      <c r="EE34" s="34" t="e">
        <f>AND(#REF!,"AAAAAG/X/4Y=")</f>
        <v>#REF!</v>
      </c>
      <c r="EF34" s="34" t="e">
        <f>AND(#REF!,"AAAAAG/X/4c=")</f>
        <v>#REF!</v>
      </c>
      <c r="EG34" s="34" t="e">
        <f>AND(#REF!,"AAAAAG/X/4g=")</f>
        <v>#REF!</v>
      </c>
      <c r="EH34" s="34" t="e">
        <f>AND(#REF!,"AAAAAG/X/4k=")</f>
        <v>#REF!</v>
      </c>
      <c r="EI34" s="34" t="e">
        <f>AND(#REF!,"AAAAAG/X/4o=")</f>
        <v>#REF!</v>
      </c>
      <c r="EJ34" s="34" t="e">
        <f>AND(#REF!,"AAAAAG/X/4s=")</f>
        <v>#REF!</v>
      </c>
      <c r="EK34" s="34" t="e">
        <f>AND(#REF!,"AAAAAG/X/4w=")</f>
        <v>#REF!</v>
      </c>
      <c r="EL34" s="34" t="e">
        <f>AND(#REF!,"AAAAAG/X/40=")</f>
        <v>#REF!</v>
      </c>
      <c r="EM34" s="34" t="e">
        <f>AND(#REF!,"AAAAAG/X/44=")</f>
        <v>#REF!</v>
      </c>
      <c r="EN34" s="34" t="e">
        <f>AND(#REF!,"AAAAAG/X/48=")</f>
        <v>#REF!</v>
      </c>
      <c r="EO34" s="34" t="e">
        <f>AND(#REF!,"AAAAAG/X/5A=")</f>
        <v>#REF!</v>
      </c>
      <c r="EP34" s="34" t="e">
        <f>AND(#REF!,"AAAAAG/X/5E=")</f>
        <v>#REF!</v>
      </c>
      <c r="EQ34" s="34" t="e">
        <f>AND(#REF!,"AAAAAG/X/5I=")</f>
        <v>#REF!</v>
      </c>
      <c r="ER34" s="34" t="e">
        <f>AND(#REF!,"AAAAAG/X/5M=")</f>
        <v>#REF!</v>
      </c>
      <c r="ES34" s="34" t="e">
        <f>AND(#REF!,"AAAAAG/X/5Q=")</f>
        <v>#REF!</v>
      </c>
      <c r="ET34" s="34" t="e">
        <f>AND(#REF!,"AAAAAG/X/5U=")</f>
        <v>#REF!</v>
      </c>
      <c r="EU34" s="34" t="e">
        <f>AND(#REF!,"AAAAAG/X/5Y=")</f>
        <v>#REF!</v>
      </c>
      <c r="EV34" s="34" t="e">
        <f>AND(#REF!,"AAAAAG/X/5c=")</f>
        <v>#REF!</v>
      </c>
      <c r="EW34" s="34" t="e">
        <f>AND(#REF!,"AAAAAG/X/5g=")</f>
        <v>#REF!</v>
      </c>
      <c r="EX34" s="34" t="e">
        <f>AND(#REF!,"AAAAAG/X/5k=")</f>
        <v>#REF!</v>
      </c>
      <c r="EY34" s="34" t="e">
        <f>AND(#REF!,"AAAAAG/X/5o=")</f>
        <v>#REF!</v>
      </c>
      <c r="EZ34" s="34" t="e">
        <f>AND(#REF!,"AAAAAG/X/5s=")</f>
        <v>#REF!</v>
      </c>
      <c r="FA34" s="34" t="e">
        <f>AND(#REF!,"AAAAAG/X/5w=")</f>
        <v>#REF!</v>
      </c>
      <c r="FB34" s="34" t="e">
        <f>AND(#REF!,"AAAAAG/X/50=")</f>
        <v>#REF!</v>
      </c>
      <c r="FC34" s="34" t="e">
        <f>AND(#REF!,"AAAAAG/X/54=")</f>
        <v>#REF!</v>
      </c>
      <c r="FD34" s="34" t="e">
        <f>AND(#REF!,"AAAAAG/X/58=")</f>
        <v>#REF!</v>
      </c>
      <c r="FE34" s="34" t="e">
        <f>AND(#REF!,"AAAAAG/X/6A=")</f>
        <v>#REF!</v>
      </c>
      <c r="FF34" s="34" t="e">
        <f>AND(#REF!,"AAAAAG/X/6E=")</f>
        <v>#REF!</v>
      </c>
      <c r="FG34" s="34" t="e">
        <f>AND(#REF!,"AAAAAG/X/6I=")</f>
        <v>#REF!</v>
      </c>
      <c r="FH34" s="34" t="e">
        <f>AND(#REF!,"AAAAAG/X/6M=")</f>
        <v>#REF!</v>
      </c>
      <c r="FI34" s="34" t="e">
        <f>AND(#REF!,"AAAAAG/X/6Q=")</f>
        <v>#REF!</v>
      </c>
      <c r="FJ34" s="34" t="e">
        <f>AND(#REF!,"AAAAAG/X/6U=")</f>
        <v>#REF!</v>
      </c>
      <c r="FK34" s="34" t="e">
        <f>AND(#REF!,"AAAAAG/X/6Y=")</f>
        <v>#REF!</v>
      </c>
      <c r="FL34" s="34" t="e">
        <f>AND(#REF!,"AAAAAG/X/6c=")</f>
        <v>#REF!</v>
      </c>
      <c r="FM34" s="34" t="e">
        <f>AND(#REF!,"AAAAAG/X/6g=")</f>
        <v>#REF!</v>
      </c>
      <c r="FN34" s="34" t="e">
        <f>AND(#REF!,"AAAAAG/X/6k=")</f>
        <v>#REF!</v>
      </c>
      <c r="FO34" s="34" t="e">
        <f>AND(#REF!,"AAAAAG/X/6o=")</f>
        <v>#REF!</v>
      </c>
      <c r="FP34" s="34" t="e">
        <f>AND(#REF!,"AAAAAG/X/6s=")</f>
        <v>#REF!</v>
      </c>
      <c r="FQ34" s="34" t="e">
        <f>AND(#REF!,"AAAAAG/X/6w=")</f>
        <v>#REF!</v>
      </c>
      <c r="FR34" s="34" t="e">
        <f>AND(#REF!,"AAAAAG/X/60=")</f>
        <v>#REF!</v>
      </c>
      <c r="FS34" s="34" t="e">
        <f>AND(#REF!,"AAAAAG/X/64=")</f>
        <v>#REF!</v>
      </c>
      <c r="FT34" s="34" t="e">
        <f>AND(#REF!,"AAAAAG/X/68=")</f>
        <v>#REF!</v>
      </c>
      <c r="FU34" s="34" t="e">
        <f>AND(#REF!,"AAAAAG/X/7A=")</f>
        <v>#REF!</v>
      </c>
      <c r="FV34" s="34" t="e">
        <f>AND(#REF!,"AAAAAG/X/7E=")</f>
        <v>#REF!</v>
      </c>
      <c r="FW34" s="34" t="e">
        <f>AND(#REF!,"AAAAAG/X/7I=")</f>
        <v>#REF!</v>
      </c>
      <c r="FX34" s="34" t="e">
        <f>AND(#REF!,"AAAAAG/X/7M=")</f>
        <v>#REF!</v>
      </c>
      <c r="FY34" s="34" t="e">
        <f>AND(#REF!,"AAAAAG/X/7Q=")</f>
        <v>#REF!</v>
      </c>
      <c r="FZ34" s="34" t="e">
        <f>AND(#REF!,"AAAAAG/X/7U=")</f>
        <v>#REF!</v>
      </c>
      <c r="GA34" s="34" t="e">
        <f>AND(#REF!,"AAAAAG/X/7Y=")</f>
        <v>#REF!</v>
      </c>
      <c r="GB34" s="34" t="e">
        <f>AND(#REF!,"AAAAAG/X/7c=")</f>
        <v>#REF!</v>
      </c>
      <c r="GC34" s="34" t="e">
        <f>AND(#REF!,"AAAAAG/X/7g=")</f>
        <v>#REF!</v>
      </c>
      <c r="GD34" s="34" t="e">
        <f>AND(#REF!,"AAAAAG/X/7k=")</f>
        <v>#REF!</v>
      </c>
      <c r="GE34" s="34" t="e">
        <f>AND(#REF!,"AAAAAG/X/7o=")</f>
        <v>#REF!</v>
      </c>
      <c r="GF34" s="34" t="e">
        <f>AND(#REF!,"AAAAAG/X/7s=")</f>
        <v>#REF!</v>
      </c>
      <c r="GG34" s="34" t="e">
        <f>AND(#REF!,"AAAAAG/X/7w=")</f>
        <v>#REF!</v>
      </c>
      <c r="GH34" s="34" t="e">
        <f>AND(#REF!,"AAAAAG/X/70=")</f>
        <v>#REF!</v>
      </c>
      <c r="GI34" s="34" t="e">
        <f>AND(#REF!,"AAAAAG/X/74=")</f>
        <v>#REF!</v>
      </c>
      <c r="GJ34" s="34" t="e">
        <f>IF(#REF!,"AAAAAG/X/78=",0)</f>
        <v>#REF!</v>
      </c>
      <c r="GK34" s="34" t="e">
        <f>AND(#REF!,"AAAAAG/X/8A=")</f>
        <v>#REF!</v>
      </c>
      <c r="GL34" s="34" t="e">
        <f>AND(#REF!,"AAAAAG/X/8E=")</f>
        <v>#REF!</v>
      </c>
      <c r="GM34" s="34" t="e">
        <f>AND(#REF!,"AAAAAG/X/8I=")</f>
        <v>#REF!</v>
      </c>
      <c r="GN34" s="34" t="e">
        <f>AND(#REF!,"AAAAAG/X/8M=")</f>
        <v>#REF!</v>
      </c>
      <c r="GO34" s="34" t="e">
        <f>AND(#REF!,"AAAAAG/X/8Q=")</f>
        <v>#REF!</v>
      </c>
      <c r="GP34" s="34" t="e">
        <f>AND(#REF!,"AAAAAG/X/8U=")</f>
        <v>#REF!</v>
      </c>
      <c r="GQ34" s="34" t="e">
        <f>AND(#REF!,"AAAAAG/X/8Y=")</f>
        <v>#REF!</v>
      </c>
      <c r="GR34" s="34" t="e">
        <f>AND(#REF!,"AAAAAG/X/8c=")</f>
        <v>#REF!</v>
      </c>
      <c r="GS34" s="34" t="e">
        <f>AND(#REF!,"AAAAAG/X/8g=")</f>
        <v>#REF!</v>
      </c>
      <c r="GT34" s="34" t="e">
        <f>AND(#REF!,"AAAAAG/X/8k=")</f>
        <v>#REF!</v>
      </c>
      <c r="GU34" s="34" t="e">
        <f>AND(#REF!,"AAAAAG/X/8o=")</f>
        <v>#REF!</v>
      </c>
      <c r="GV34" s="34" t="e">
        <f>AND(#REF!,"AAAAAG/X/8s=")</f>
        <v>#REF!</v>
      </c>
      <c r="GW34" s="34" t="e">
        <f>AND(#REF!,"AAAAAG/X/8w=")</f>
        <v>#REF!</v>
      </c>
      <c r="GX34" s="34" t="e">
        <f>AND(#REF!,"AAAAAG/X/80=")</f>
        <v>#REF!</v>
      </c>
      <c r="GY34" s="34" t="e">
        <f>AND(#REF!,"AAAAAG/X/84=")</f>
        <v>#REF!</v>
      </c>
      <c r="GZ34" s="34" t="e">
        <f>AND(#REF!,"AAAAAG/X/88=")</f>
        <v>#REF!</v>
      </c>
      <c r="HA34" s="34" t="e">
        <f>AND(#REF!,"AAAAAG/X/9A=")</f>
        <v>#REF!</v>
      </c>
      <c r="HB34" s="34" t="e">
        <f>AND(#REF!,"AAAAAG/X/9E=")</f>
        <v>#REF!</v>
      </c>
      <c r="HC34" s="34" t="e">
        <f>AND(#REF!,"AAAAAG/X/9I=")</f>
        <v>#REF!</v>
      </c>
      <c r="HD34" s="34" t="e">
        <f>AND(#REF!,"AAAAAG/X/9M=")</f>
        <v>#REF!</v>
      </c>
      <c r="HE34" s="34" t="e">
        <f>AND(#REF!,"AAAAAG/X/9Q=")</f>
        <v>#REF!</v>
      </c>
      <c r="HF34" s="34" t="e">
        <f>AND(#REF!,"AAAAAG/X/9U=")</f>
        <v>#REF!</v>
      </c>
      <c r="HG34" s="34" t="e">
        <f>AND(#REF!,"AAAAAG/X/9Y=")</f>
        <v>#REF!</v>
      </c>
      <c r="HH34" s="34" t="e">
        <f>AND(#REF!,"AAAAAG/X/9c=")</f>
        <v>#REF!</v>
      </c>
      <c r="HI34" s="34" t="e">
        <f>AND(#REF!,"AAAAAG/X/9g=")</f>
        <v>#REF!</v>
      </c>
      <c r="HJ34" s="34" t="e">
        <f>AND(#REF!,"AAAAAG/X/9k=")</f>
        <v>#REF!</v>
      </c>
      <c r="HK34" s="34" t="e">
        <f>AND(#REF!,"AAAAAG/X/9o=")</f>
        <v>#REF!</v>
      </c>
      <c r="HL34" s="34" t="e">
        <f>AND(#REF!,"AAAAAG/X/9s=")</f>
        <v>#REF!</v>
      </c>
      <c r="HM34" s="34" t="e">
        <f>AND(#REF!,"AAAAAG/X/9w=")</f>
        <v>#REF!</v>
      </c>
      <c r="HN34" s="34" t="e">
        <f>AND(#REF!,"AAAAAG/X/90=")</f>
        <v>#REF!</v>
      </c>
      <c r="HO34" s="34" t="e">
        <f>AND(#REF!,"AAAAAG/X/94=")</f>
        <v>#REF!</v>
      </c>
      <c r="HP34" s="34" t="e">
        <f>AND(#REF!,"AAAAAG/X/98=")</f>
        <v>#REF!</v>
      </c>
      <c r="HQ34" s="34" t="e">
        <f>AND(#REF!,"AAAAAG/X/+A=")</f>
        <v>#REF!</v>
      </c>
      <c r="HR34" s="34" t="e">
        <f>AND(#REF!,"AAAAAG/X/+E=")</f>
        <v>#REF!</v>
      </c>
      <c r="HS34" s="34" t="e">
        <f>AND(#REF!,"AAAAAG/X/+I=")</f>
        <v>#REF!</v>
      </c>
      <c r="HT34" s="34" t="e">
        <f>AND(#REF!,"AAAAAG/X/+M=")</f>
        <v>#REF!</v>
      </c>
      <c r="HU34" s="34" t="e">
        <f>AND(#REF!,"AAAAAG/X/+Q=")</f>
        <v>#REF!</v>
      </c>
      <c r="HV34" s="34" t="e">
        <f>AND(#REF!,"AAAAAG/X/+U=")</f>
        <v>#REF!</v>
      </c>
      <c r="HW34" s="34" t="e">
        <f>AND(#REF!,"AAAAAG/X/+Y=")</f>
        <v>#REF!</v>
      </c>
      <c r="HX34" s="34" t="e">
        <f>AND(#REF!,"AAAAAG/X/+c=")</f>
        <v>#REF!</v>
      </c>
      <c r="HY34" s="34" t="e">
        <f>AND(#REF!,"AAAAAG/X/+g=")</f>
        <v>#REF!</v>
      </c>
      <c r="HZ34" s="34" t="e">
        <f>AND(#REF!,"AAAAAG/X/+k=")</f>
        <v>#REF!</v>
      </c>
      <c r="IA34" s="34" t="e">
        <f>AND(#REF!,"AAAAAG/X/+o=")</f>
        <v>#REF!</v>
      </c>
      <c r="IB34" s="34" t="e">
        <f>AND(#REF!,"AAAAAG/X/+s=")</f>
        <v>#REF!</v>
      </c>
      <c r="IC34" s="34" t="e">
        <f>AND(#REF!,"AAAAAG/X/+w=")</f>
        <v>#REF!</v>
      </c>
      <c r="ID34" s="34" t="e">
        <f>AND(#REF!,"AAAAAG/X/+0=")</f>
        <v>#REF!</v>
      </c>
      <c r="IE34" s="34" t="e">
        <f>AND(#REF!,"AAAAAG/X/+4=")</f>
        <v>#REF!</v>
      </c>
      <c r="IF34" s="34" t="e">
        <f>AND(#REF!,"AAAAAG/X/+8=")</f>
        <v>#REF!</v>
      </c>
      <c r="IG34" s="34" t="e">
        <f>AND(#REF!,"AAAAAG/X//A=")</f>
        <v>#REF!</v>
      </c>
      <c r="IH34" s="34" t="e">
        <f>AND(#REF!,"AAAAAG/X//E=")</f>
        <v>#REF!</v>
      </c>
      <c r="II34" s="34" t="e">
        <f>AND(#REF!,"AAAAAG/X//I=")</f>
        <v>#REF!</v>
      </c>
      <c r="IJ34" s="34" t="e">
        <f>AND(#REF!,"AAAAAG/X//M=")</f>
        <v>#REF!</v>
      </c>
      <c r="IK34" s="34" t="e">
        <f>AND(#REF!,"AAAAAG/X//Q=")</f>
        <v>#REF!</v>
      </c>
      <c r="IL34" s="34" t="e">
        <f>AND(#REF!,"AAAAAG/X//U=")</f>
        <v>#REF!</v>
      </c>
      <c r="IM34" s="34" t="e">
        <f>AND(#REF!,"AAAAAG/X//Y=")</f>
        <v>#REF!</v>
      </c>
      <c r="IN34" s="34" t="e">
        <f>AND(#REF!,"AAAAAG/X//c=")</f>
        <v>#REF!</v>
      </c>
      <c r="IO34" s="34" t="e">
        <f>AND(#REF!,"AAAAAG/X//g=")</f>
        <v>#REF!</v>
      </c>
      <c r="IP34" s="34" t="e">
        <f>AND(#REF!,"AAAAAG/X//k=")</f>
        <v>#REF!</v>
      </c>
      <c r="IQ34" s="34" t="e">
        <f>AND(#REF!,"AAAAAG/X//o=")</f>
        <v>#REF!</v>
      </c>
      <c r="IR34" s="34" t="e">
        <f>AND(#REF!,"AAAAAG/X//s=")</f>
        <v>#REF!</v>
      </c>
      <c r="IS34" s="34" t="e">
        <f>AND(#REF!,"AAAAAG/X//w=")</f>
        <v>#REF!</v>
      </c>
      <c r="IT34" s="34" t="e">
        <f>AND(#REF!,"AAAAAG/X//0=")</f>
        <v>#REF!</v>
      </c>
      <c r="IU34" s="34" t="e">
        <f>AND(#REF!,"AAAAAG/X//4=")</f>
        <v>#REF!</v>
      </c>
      <c r="IV34" s="34" t="e">
        <f>AND(#REF!,"AAAAAG/X//8=")</f>
        <v>#REF!</v>
      </c>
    </row>
    <row r="35" spans="1:256" ht="12.75" customHeight="1" x14ac:dyDescent="0.2">
      <c r="A35" s="34" t="e">
        <f>AND(#REF!,"AAAAAHvfpwA=")</f>
        <v>#REF!</v>
      </c>
      <c r="B35" s="34" t="e">
        <f>AND(#REF!,"AAAAAHvfpwE=")</f>
        <v>#REF!</v>
      </c>
      <c r="C35" s="34" t="e">
        <f>AND(#REF!,"AAAAAHvfpwI=")</f>
        <v>#REF!</v>
      </c>
      <c r="D35" s="34" t="e">
        <f>AND(#REF!,"AAAAAHvfpwM=")</f>
        <v>#REF!</v>
      </c>
      <c r="E35" s="34" t="e">
        <f>AND(#REF!,"AAAAAHvfpwQ=")</f>
        <v>#REF!</v>
      </c>
      <c r="F35" s="34" t="e">
        <f>AND(#REF!,"AAAAAHvfpwU=")</f>
        <v>#REF!</v>
      </c>
      <c r="G35" s="34" t="e">
        <f>AND(#REF!,"AAAAAHvfpwY=")</f>
        <v>#REF!</v>
      </c>
      <c r="H35" s="34" t="e">
        <f>AND(#REF!,"AAAAAHvfpwc=")</f>
        <v>#REF!</v>
      </c>
      <c r="I35" s="34" t="e">
        <f>IF(#REF!,"AAAAAHvfpwg=",0)</f>
        <v>#REF!</v>
      </c>
      <c r="J35" s="34" t="e">
        <f>AND(#REF!,"AAAAAHvfpwk=")</f>
        <v>#REF!</v>
      </c>
      <c r="K35" s="34" t="e">
        <f>AND(#REF!,"AAAAAHvfpwo=")</f>
        <v>#REF!</v>
      </c>
      <c r="L35" s="34" t="e">
        <f>AND(#REF!,"AAAAAHvfpws=")</f>
        <v>#REF!</v>
      </c>
      <c r="M35" s="34" t="e">
        <f>AND(#REF!,"AAAAAHvfpww=")</f>
        <v>#REF!</v>
      </c>
      <c r="N35" s="34" t="e">
        <f>AND(#REF!,"AAAAAHvfpw0=")</f>
        <v>#REF!</v>
      </c>
      <c r="O35" s="34" t="e">
        <f>AND(#REF!,"AAAAAHvfpw4=")</f>
        <v>#REF!</v>
      </c>
      <c r="P35" s="34" t="e">
        <f>AND(#REF!,"AAAAAHvfpw8=")</f>
        <v>#REF!</v>
      </c>
      <c r="Q35" s="34" t="e">
        <f>AND(#REF!,"AAAAAHvfpxA=")</f>
        <v>#REF!</v>
      </c>
      <c r="R35" s="34" t="e">
        <f>AND(#REF!,"AAAAAHvfpxE=")</f>
        <v>#REF!</v>
      </c>
      <c r="S35" s="34" t="e">
        <f>AND(#REF!,"AAAAAHvfpxI=")</f>
        <v>#REF!</v>
      </c>
      <c r="T35" s="34" t="e">
        <f>AND(#REF!,"AAAAAHvfpxM=")</f>
        <v>#REF!</v>
      </c>
      <c r="U35" s="34" t="e">
        <f>AND(#REF!,"AAAAAHvfpxQ=")</f>
        <v>#REF!</v>
      </c>
      <c r="V35" s="34" t="e">
        <f>AND(#REF!,"AAAAAHvfpxU=")</f>
        <v>#REF!</v>
      </c>
      <c r="W35" s="34" t="e">
        <f>AND(#REF!,"AAAAAHvfpxY=")</f>
        <v>#REF!</v>
      </c>
      <c r="X35" s="34" t="e">
        <f>AND(#REF!,"AAAAAHvfpxc=")</f>
        <v>#REF!</v>
      </c>
      <c r="Y35" s="34" t="e">
        <f>AND(#REF!,"AAAAAHvfpxg=")</f>
        <v>#REF!</v>
      </c>
      <c r="Z35" s="34" t="e">
        <f>AND(#REF!,"AAAAAHvfpxk=")</f>
        <v>#REF!</v>
      </c>
      <c r="AA35" s="34" t="e">
        <f>AND(#REF!,"AAAAAHvfpxo=")</f>
        <v>#REF!</v>
      </c>
      <c r="AB35" s="34" t="e">
        <f>AND(#REF!,"AAAAAHvfpxs=")</f>
        <v>#REF!</v>
      </c>
      <c r="AC35" s="34" t="e">
        <f>AND(#REF!,"AAAAAHvfpxw=")</f>
        <v>#REF!</v>
      </c>
      <c r="AD35" s="34" t="e">
        <f>AND(#REF!,"AAAAAHvfpx0=")</f>
        <v>#REF!</v>
      </c>
      <c r="AE35" s="34" t="e">
        <f>AND(#REF!,"AAAAAHvfpx4=")</f>
        <v>#REF!</v>
      </c>
      <c r="AF35" s="34" t="e">
        <f>AND(#REF!,"AAAAAHvfpx8=")</f>
        <v>#REF!</v>
      </c>
      <c r="AG35" s="34" t="e">
        <f>AND(#REF!,"AAAAAHvfpyA=")</f>
        <v>#REF!</v>
      </c>
      <c r="AH35" s="34" t="e">
        <f>AND(#REF!,"AAAAAHvfpyE=")</f>
        <v>#REF!</v>
      </c>
      <c r="AI35" s="34" t="e">
        <f>AND(#REF!,"AAAAAHvfpyI=")</f>
        <v>#REF!</v>
      </c>
      <c r="AJ35" s="34" t="e">
        <f>AND(#REF!,"AAAAAHvfpyM=")</f>
        <v>#REF!</v>
      </c>
      <c r="AK35" s="34" t="e">
        <f>AND(#REF!,"AAAAAHvfpyQ=")</f>
        <v>#REF!</v>
      </c>
      <c r="AL35" s="34" t="e">
        <f>AND(#REF!,"AAAAAHvfpyU=")</f>
        <v>#REF!</v>
      </c>
      <c r="AM35" s="34" t="e">
        <f>AND(#REF!,"AAAAAHvfpyY=")</f>
        <v>#REF!</v>
      </c>
      <c r="AN35" s="34" t="e">
        <f>AND(#REF!,"AAAAAHvfpyc=")</f>
        <v>#REF!</v>
      </c>
      <c r="AO35" s="34" t="e">
        <f>AND(#REF!,"AAAAAHvfpyg=")</f>
        <v>#REF!</v>
      </c>
      <c r="AP35" s="34" t="e">
        <f>AND(#REF!,"AAAAAHvfpyk=")</f>
        <v>#REF!</v>
      </c>
      <c r="AQ35" s="34" t="e">
        <f>AND(#REF!,"AAAAAHvfpyo=")</f>
        <v>#REF!</v>
      </c>
      <c r="AR35" s="34" t="e">
        <f>AND(#REF!,"AAAAAHvfpys=")</f>
        <v>#REF!</v>
      </c>
      <c r="AS35" s="34" t="e">
        <f>AND(#REF!,"AAAAAHvfpyw=")</f>
        <v>#REF!</v>
      </c>
      <c r="AT35" s="34" t="e">
        <f>AND(#REF!,"AAAAAHvfpy0=")</f>
        <v>#REF!</v>
      </c>
      <c r="AU35" s="34" t="e">
        <f>AND(#REF!,"AAAAAHvfpy4=")</f>
        <v>#REF!</v>
      </c>
      <c r="AV35" s="34" t="e">
        <f>AND(#REF!,"AAAAAHvfpy8=")</f>
        <v>#REF!</v>
      </c>
      <c r="AW35" s="34" t="e">
        <f>AND(#REF!,"AAAAAHvfpzA=")</f>
        <v>#REF!</v>
      </c>
      <c r="AX35" s="34" t="e">
        <f>AND(#REF!,"AAAAAHvfpzE=")</f>
        <v>#REF!</v>
      </c>
      <c r="AY35" s="34" t="e">
        <f>AND(#REF!,"AAAAAHvfpzI=")</f>
        <v>#REF!</v>
      </c>
      <c r="AZ35" s="34" t="e">
        <f>AND(#REF!,"AAAAAHvfpzM=")</f>
        <v>#REF!</v>
      </c>
      <c r="BA35" s="34" t="e">
        <f>AND(#REF!,"AAAAAHvfpzQ=")</f>
        <v>#REF!</v>
      </c>
      <c r="BB35" s="34" t="e">
        <f>AND(#REF!,"AAAAAHvfpzU=")</f>
        <v>#REF!</v>
      </c>
      <c r="BC35" s="34" t="e">
        <f>AND(#REF!,"AAAAAHvfpzY=")</f>
        <v>#REF!</v>
      </c>
      <c r="BD35" s="34" t="e">
        <f>AND(#REF!,"AAAAAHvfpzc=")</f>
        <v>#REF!</v>
      </c>
      <c r="BE35" s="34" t="e">
        <f>AND(#REF!,"AAAAAHvfpzg=")</f>
        <v>#REF!</v>
      </c>
      <c r="BF35" s="34" t="e">
        <f>AND(#REF!,"AAAAAHvfpzk=")</f>
        <v>#REF!</v>
      </c>
      <c r="BG35" s="34" t="e">
        <f>AND(#REF!,"AAAAAHvfpzo=")</f>
        <v>#REF!</v>
      </c>
      <c r="BH35" s="34" t="e">
        <f>AND(#REF!,"AAAAAHvfpzs=")</f>
        <v>#REF!</v>
      </c>
      <c r="BI35" s="34" t="e">
        <f>AND(#REF!,"AAAAAHvfpzw=")</f>
        <v>#REF!</v>
      </c>
      <c r="BJ35" s="34" t="e">
        <f>AND(#REF!,"AAAAAHvfpz0=")</f>
        <v>#REF!</v>
      </c>
      <c r="BK35" s="34" t="e">
        <f>AND(#REF!,"AAAAAHvfpz4=")</f>
        <v>#REF!</v>
      </c>
      <c r="BL35" s="34" t="e">
        <f>AND(#REF!,"AAAAAHvfpz8=")</f>
        <v>#REF!</v>
      </c>
      <c r="BM35" s="34" t="e">
        <f>AND(#REF!,"AAAAAHvfp0A=")</f>
        <v>#REF!</v>
      </c>
      <c r="BN35" s="34" t="e">
        <f>AND(#REF!,"AAAAAHvfp0E=")</f>
        <v>#REF!</v>
      </c>
      <c r="BO35" s="34" t="e">
        <f>AND(#REF!,"AAAAAHvfp0I=")</f>
        <v>#REF!</v>
      </c>
      <c r="BP35" s="34" t="e">
        <f>AND(#REF!,"AAAAAHvfp0M=")</f>
        <v>#REF!</v>
      </c>
      <c r="BQ35" s="34" t="e">
        <f>AND(#REF!,"AAAAAHvfp0Q=")</f>
        <v>#REF!</v>
      </c>
      <c r="BR35" s="34" t="e">
        <f>AND(#REF!,"AAAAAHvfp0U=")</f>
        <v>#REF!</v>
      </c>
      <c r="BS35" s="34" t="e">
        <f>AND(#REF!,"AAAAAHvfp0Y=")</f>
        <v>#REF!</v>
      </c>
      <c r="BT35" s="34" t="e">
        <f>AND(#REF!,"AAAAAHvfp0c=")</f>
        <v>#REF!</v>
      </c>
      <c r="BU35" s="34" t="e">
        <f>AND(#REF!,"AAAAAHvfp0g=")</f>
        <v>#REF!</v>
      </c>
      <c r="BV35" s="34" t="e">
        <f>AND(#REF!,"AAAAAHvfp0k=")</f>
        <v>#REF!</v>
      </c>
      <c r="BW35" s="34" t="e">
        <f>AND(#REF!,"AAAAAHvfp0o=")</f>
        <v>#REF!</v>
      </c>
      <c r="BX35" s="34" t="e">
        <f>AND(#REF!,"AAAAAHvfp0s=")</f>
        <v>#REF!</v>
      </c>
      <c r="BY35" s="34" t="e">
        <f>AND(#REF!,"AAAAAHvfp0w=")</f>
        <v>#REF!</v>
      </c>
      <c r="BZ35" s="34" t="e">
        <f>AND(#REF!,"AAAAAHvfp00=")</f>
        <v>#REF!</v>
      </c>
      <c r="CA35" s="34" t="e">
        <f>AND(#REF!,"AAAAAHvfp04=")</f>
        <v>#REF!</v>
      </c>
      <c r="CB35" s="34" t="e">
        <f>AND(#REF!,"AAAAAHvfp08=")</f>
        <v>#REF!</v>
      </c>
      <c r="CC35" s="34" t="e">
        <f>AND(#REF!,"AAAAAHvfp1A=")</f>
        <v>#REF!</v>
      </c>
      <c r="CD35" s="34" t="e">
        <f>IF(#REF!,"AAAAAHvfp1E=",0)</f>
        <v>#REF!</v>
      </c>
      <c r="CE35" s="34" t="e">
        <f>AND(#REF!,"AAAAAHvfp1I=")</f>
        <v>#REF!</v>
      </c>
      <c r="CF35" s="34" t="e">
        <f>AND(#REF!,"AAAAAHvfp1M=")</f>
        <v>#REF!</v>
      </c>
      <c r="CG35" s="34" t="e">
        <f>AND(#REF!,"AAAAAHvfp1Q=")</f>
        <v>#REF!</v>
      </c>
      <c r="CH35" s="34" t="e">
        <f>AND(#REF!,"AAAAAHvfp1U=")</f>
        <v>#REF!</v>
      </c>
      <c r="CI35" s="34" t="e">
        <f>AND(#REF!,"AAAAAHvfp1Y=")</f>
        <v>#REF!</v>
      </c>
      <c r="CJ35" s="34" t="e">
        <f>AND(#REF!,"AAAAAHvfp1c=")</f>
        <v>#REF!</v>
      </c>
      <c r="CK35" s="34" t="e">
        <f>AND(#REF!,"AAAAAHvfp1g=")</f>
        <v>#REF!</v>
      </c>
      <c r="CL35" s="34" t="e">
        <f>AND(#REF!,"AAAAAHvfp1k=")</f>
        <v>#REF!</v>
      </c>
      <c r="CM35" s="34" t="e">
        <f>AND(#REF!,"AAAAAHvfp1o=")</f>
        <v>#REF!</v>
      </c>
      <c r="CN35" s="34" t="e">
        <f>AND(#REF!,"AAAAAHvfp1s=")</f>
        <v>#REF!</v>
      </c>
      <c r="CO35" s="34" t="e">
        <f>AND(#REF!,"AAAAAHvfp1w=")</f>
        <v>#REF!</v>
      </c>
      <c r="CP35" s="34" t="e">
        <f>AND(#REF!,"AAAAAHvfp10=")</f>
        <v>#REF!</v>
      </c>
      <c r="CQ35" s="34" t="e">
        <f>AND(#REF!,"AAAAAHvfp14=")</f>
        <v>#REF!</v>
      </c>
      <c r="CR35" s="34" t="e">
        <f>AND(#REF!,"AAAAAHvfp18=")</f>
        <v>#REF!</v>
      </c>
      <c r="CS35" s="34" t="e">
        <f>AND(#REF!,"AAAAAHvfp2A=")</f>
        <v>#REF!</v>
      </c>
      <c r="CT35" s="34" t="e">
        <f>AND(#REF!,"AAAAAHvfp2E=")</f>
        <v>#REF!</v>
      </c>
      <c r="CU35" s="34" t="e">
        <f>AND(#REF!,"AAAAAHvfp2I=")</f>
        <v>#REF!</v>
      </c>
      <c r="CV35" s="34" t="e">
        <f>AND(#REF!,"AAAAAHvfp2M=")</f>
        <v>#REF!</v>
      </c>
      <c r="CW35" s="34" t="e">
        <f>AND(#REF!,"AAAAAHvfp2Q=")</f>
        <v>#REF!</v>
      </c>
      <c r="CX35" s="34" t="e">
        <f>AND(#REF!,"AAAAAHvfp2U=")</f>
        <v>#REF!</v>
      </c>
      <c r="CY35" s="34" t="e">
        <f>AND(#REF!,"AAAAAHvfp2Y=")</f>
        <v>#REF!</v>
      </c>
      <c r="CZ35" s="34" t="e">
        <f>AND(#REF!,"AAAAAHvfp2c=")</f>
        <v>#REF!</v>
      </c>
      <c r="DA35" s="34" t="e">
        <f>AND(#REF!,"AAAAAHvfp2g=")</f>
        <v>#REF!</v>
      </c>
      <c r="DB35" s="34" t="e">
        <f>AND(#REF!,"AAAAAHvfp2k=")</f>
        <v>#REF!</v>
      </c>
      <c r="DC35" s="34" t="e">
        <f>AND(#REF!,"AAAAAHvfp2o=")</f>
        <v>#REF!</v>
      </c>
      <c r="DD35" s="34" t="e">
        <f>AND(#REF!,"AAAAAHvfp2s=")</f>
        <v>#REF!</v>
      </c>
      <c r="DE35" s="34" t="e">
        <f>AND(#REF!,"AAAAAHvfp2w=")</f>
        <v>#REF!</v>
      </c>
      <c r="DF35" s="34" t="e">
        <f>AND(#REF!,"AAAAAHvfp20=")</f>
        <v>#REF!</v>
      </c>
      <c r="DG35" s="34" t="e">
        <f>AND(#REF!,"AAAAAHvfp24=")</f>
        <v>#REF!</v>
      </c>
      <c r="DH35" s="34" t="e">
        <f>AND(#REF!,"AAAAAHvfp28=")</f>
        <v>#REF!</v>
      </c>
      <c r="DI35" s="34" t="e">
        <f>AND(#REF!,"AAAAAHvfp3A=")</f>
        <v>#REF!</v>
      </c>
      <c r="DJ35" s="34" t="e">
        <f>AND(#REF!,"AAAAAHvfp3E=")</f>
        <v>#REF!</v>
      </c>
      <c r="DK35" s="34" t="e">
        <f>AND(#REF!,"AAAAAHvfp3I=")</f>
        <v>#REF!</v>
      </c>
      <c r="DL35" s="34" t="e">
        <f>AND(#REF!,"AAAAAHvfp3M=")</f>
        <v>#REF!</v>
      </c>
      <c r="DM35" s="34" t="e">
        <f>AND(#REF!,"AAAAAHvfp3Q=")</f>
        <v>#REF!</v>
      </c>
      <c r="DN35" s="34" t="e">
        <f>AND(#REF!,"AAAAAHvfp3U=")</f>
        <v>#REF!</v>
      </c>
      <c r="DO35" s="34" t="e">
        <f>AND(#REF!,"AAAAAHvfp3Y=")</f>
        <v>#REF!</v>
      </c>
      <c r="DP35" s="34" t="e">
        <f>AND(#REF!,"AAAAAHvfp3c=")</f>
        <v>#REF!</v>
      </c>
      <c r="DQ35" s="34" t="e">
        <f>AND(#REF!,"AAAAAHvfp3g=")</f>
        <v>#REF!</v>
      </c>
      <c r="DR35" s="34" t="e">
        <f>AND(#REF!,"AAAAAHvfp3k=")</f>
        <v>#REF!</v>
      </c>
      <c r="DS35" s="34" t="e">
        <f>AND(#REF!,"AAAAAHvfp3o=")</f>
        <v>#REF!</v>
      </c>
      <c r="DT35" s="34" t="e">
        <f>AND(#REF!,"AAAAAHvfp3s=")</f>
        <v>#REF!</v>
      </c>
      <c r="DU35" s="34" t="e">
        <f>AND(#REF!,"AAAAAHvfp3w=")</f>
        <v>#REF!</v>
      </c>
      <c r="DV35" s="34" t="e">
        <f>AND(#REF!,"AAAAAHvfp30=")</f>
        <v>#REF!</v>
      </c>
      <c r="DW35" s="34" t="e">
        <f>AND(#REF!,"AAAAAHvfp34=")</f>
        <v>#REF!</v>
      </c>
      <c r="DX35" s="34" t="e">
        <f>AND(#REF!,"AAAAAHvfp38=")</f>
        <v>#REF!</v>
      </c>
      <c r="DY35" s="34" t="e">
        <f>AND(#REF!,"AAAAAHvfp4A=")</f>
        <v>#REF!</v>
      </c>
      <c r="DZ35" s="34" t="e">
        <f>AND(#REF!,"AAAAAHvfp4E=")</f>
        <v>#REF!</v>
      </c>
      <c r="EA35" s="34" t="e">
        <f>AND(#REF!,"AAAAAHvfp4I=")</f>
        <v>#REF!</v>
      </c>
      <c r="EB35" s="34" t="e">
        <f>AND(#REF!,"AAAAAHvfp4M=")</f>
        <v>#REF!</v>
      </c>
      <c r="EC35" s="34" t="e">
        <f>AND(#REF!,"AAAAAHvfp4Q=")</f>
        <v>#REF!</v>
      </c>
      <c r="ED35" s="34" t="e">
        <f>AND(#REF!,"AAAAAHvfp4U=")</f>
        <v>#REF!</v>
      </c>
      <c r="EE35" s="34" t="e">
        <f>AND(#REF!,"AAAAAHvfp4Y=")</f>
        <v>#REF!</v>
      </c>
      <c r="EF35" s="34" t="e">
        <f>AND(#REF!,"AAAAAHvfp4c=")</f>
        <v>#REF!</v>
      </c>
      <c r="EG35" s="34" t="e">
        <f>AND(#REF!,"AAAAAHvfp4g=")</f>
        <v>#REF!</v>
      </c>
      <c r="EH35" s="34" t="e">
        <f>AND(#REF!,"AAAAAHvfp4k=")</f>
        <v>#REF!</v>
      </c>
      <c r="EI35" s="34" t="e">
        <f>AND(#REF!,"AAAAAHvfp4o=")</f>
        <v>#REF!</v>
      </c>
      <c r="EJ35" s="34" t="e">
        <f>AND(#REF!,"AAAAAHvfp4s=")</f>
        <v>#REF!</v>
      </c>
      <c r="EK35" s="34" t="e">
        <f>AND(#REF!,"AAAAAHvfp4w=")</f>
        <v>#REF!</v>
      </c>
      <c r="EL35" s="34" t="e">
        <f>AND(#REF!,"AAAAAHvfp40=")</f>
        <v>#REF!</v>
      </c>
      <c r="EM35" s="34" t="e">
        <f>AND(#REF!,"AAAAAHvfp44=")</f>
        <v>#REF!</v>
      </c>
      <c r="EN35" s="34" t="e">
        <f>AND(#REF!,"AAAAAHvfp48=")</f>
        <v>#REF!</v>
      </c>
      <c r="EO35" s="34" t="e">
        <f>AND(#REF!,"AAAAAHvfp5A=")</f>
        <v>#REF!</v>
      </c>
      <c r="EP35" s="34" t="e">
        <f>AND(#REF!,"AAAAAHvfp5E=")</f>
        <v>#REF!</v>
      </c>
      <c r="EQ35" s="34" t="e">
        <f>AND(#REF!,"AAAAAHvfp5I=")</f>
        <v>#REF!</v>
      </c>
      <c r="ER35" s="34" t="e">
        <f>AND(#REF!,"AAAAAHvfp5M=")</f>
        <v>#REF!</v>
      </c>
      <c r="ES35" s="34" t="e">
        <f>AND(#REF!,"AAAAAHvfp5Q=")</f>
        <v>#REF!</v>
      </c>
      <c r="ET35" s="34" t="e">
        <f>AND(#REF!,"AAAAAHvfp5U=")</f>
        <v>#REF!</v>
      </c>
      <c r="EU35" s="34" t="e">
        <f>AND(#REF!,"AAAAAHvfp5Y=")</f>
        <v>#REF!</v>
      </c>
      <c r="EV35" s="34" t="e">
        <f>AND(#REF!,"AAAAAHvfp5c=")</f>
        <v>#REF!</v>
      </c>
      <c r="EW35" s="34" t="e">
        <f>AND(#REF!,"AAAAAHvfp5g=")</f>
        <v>#REF!</v>
      </c>
      <c r="EX35" s="34" t="e">
        <f>AND(#REF!,"AAAAAHvfp5k=")</f>
        <v>#REF!</v>
      </c>
      <c r="EY35" s="34" t="e">
        <f>IF(#REF!,"AAAAAHvfp5o=",0)</f>
        <v>#REF!</v>
      </c>
      <c r="EZ35" s="34" t="e">
        <f>AND(#REF!,"AAAAAHvfp5s=")</f>
        <v>#REF!</v>
      </c>
      <c r="FA35" s="34" t="e">
        <f>AND(#REF!,"AAAAAHvfp5w=")</f>
        <v>#REF!</v>
      </c>
      <c r="FB35" s="34" t="e">
        <f>AND(#REF!,"AAAAAHvfp50=")</f>
        <v>#REF!</v>
      </c>
      <c r="FC35" s="34" t="e">
        <f>AND(#REF!,"AAAAAHvfp54=")</f>
        <v>#REF!</v>
      </c>
      <c r="FD35" s="34" t="e">
        <f>AND(#REF!,"AAAAAHvfp58=")</f>
        <v>#REF!</v>
      </c>
      <c r="FE35" s="34" t="e">
        <f>AND(#REF!,"AAAAAHvfp6A=")</f>
        <v>#REF!</v>
      </c>
      <c r="FF35" s="34" t="e">
        <f>AND(#REF!,"AAAAAHvfp6E=")</f>
        <v>#REF!</v>
      </c>
      <c r="FG35" s="34" t="e">
        <f>AND(#REF!,"AAAAAHvfp6I=")</f>
        <v>#REF!</v>
      </c>
      <c r="FH35" s="34" t="e">
        <f>AND(#REF!,"AAAAAHvfp6M=")</f>
        <v>#REF!</v>
      </c>
      <c r="FI35" s="34" t="e">
        <f>AND(#REF!,"AAAAAHvfp6Q=")</f>
        <v>#REF!</v>
      </c>
      <c r="FJ35" s="34" t="e">
        <f>AND(#REF!,"AAAAAHvfp6U=")</f>
        <v>#REF!</v>
      </c>
      <c r="FK35" s="34" t="e">
        <f>AND(#REF!,"AAAAAHvfp6Y=")</f>
        <v>#REF!</v>
      </c>
      <c r="FL35" s="34" t="e">
        <f>AND(#REF!,"AAAAAHvfp6c=")</f>
        <v>#REF!</v>
      </c>
      <c r="FM35" s="34" t="e">
        <f>AND(#REF!,"AAAAAHvfp6g=")</f>
        <v>#REF!</v>
      </c>
      <c r="FN35" s="34" t="e">
        <f>AND(#REF!,"AAAAAHvfp6k=")</f>
        <v>#REF!</v>
      </c>
      <c r="FO35" s="34" t="e">
        <f>AND(#REF!,"AAAAAHvfp6o=")</f>
        <v>#REF!</v>
      </c>
      <c r="FP35" s="34" t="e">
        <f>AND(#REF!,"AAAAAHvfp6s=")</f>
        <v>#REF!</v>
      </c>
      <c r="FQ35" s="34" t="e">
        <f>AND(#REF!,"AAAAAHvfp6w=")</f>
        <v>#REF!</v>
      </c>
      <c r="FR35" s="34" t="e">
        <f>AND(#REF!,"AAAAAHvfp60=")</f>
        <v>#REF!</v>
      </c>
      <c r="FS35" s="34" t="e">
        <f>AND(#REF!,"AAAAAHvfp64=")</f>
        <v>#REF!</v>
      </c>
      <c r="FT35" s="34" t="e">
        <f>AND(#REF!,"AAAAAHvfp68=")</f>
        <v>#REF!</v>
      </c>
      <c r="FU35" s="34" t="e">
        <f>AND(#REF!,"AAAAAHvfp7A=")</f>
        <v>#REF!</v>
      </c>
      <c r="FV35" s="34" t="e">
        <f>AND(#REF!,"AAAAAHvfp7E=")</f>
        <v>#REF!</v>
      </c>
      <c r="FW35" s="34" t="e">
        <f>AND(#REF!,"AAAAAHvfp7I=")</f>
        <v>#REF!</v>
      </c>
      <c r="FX35" s="34" t="e">
        <f>AND(#REF!,"AAAAAHvfp7M=")</f>
        <v>#REF!</v>
      </c>
      <c r="FY35" s="34" t="e">
        <f>AND(#REF!,"AAAAAHvfp7Q=")</f>
        <v>#REF!</v>
      </c>
      <c r="FZ35" s="34" t="e">
        <f>AND(#REF!,"AAAAAHvfp7U=")</f>
        <v>#REF!</v>
      </c>
      <c r="GA35" s="34" t="e">
        <f>AND(#REF!,"AAAAAHvfp7Y=")</f>
        <v>#REF!</v>
      </c>
      <c r="GB35" s="34" t="e">
        <f>AND(#REF!,"AAAAAHvfp7c=")</f>
        <v>#REF!</v>
      </c>
      <c r="GC35" s="34" t="e">
        <f>AND(#REF!,"AAAAAHvfp7g=")</f>
        <v>#REF!</v>
      </c>
      <c r="GD35" s="34" t="e">
        <f>AND(#REF!,"AAAAAHvfp7k=")</f>
        <v>#REF!</v>
      </c>
      <c r="GE35" s="34" t="e">
        <f>AND(#REF!,"AAAAAHvfp7o=")</f>
        <v>#REF!</v>
      </c>
      <c r="GF35" s="34" t="e">
        <f>AND(#REF!,"AAAAAHvfp7s=")</f>
        <v>#REF!</v>
      </c>
      <c r="GG35" s="34" t="e">
        <f>AND(#REF!,"AAAAAHvfp7w=")</f>
        <v>#REF!</v>
      </c>
      <c r="GH35" s="34" t="e">
        <f>AND(#REF!,"AAAAAHvfp70=")</f>
        <v>#REF!</v>
      </c>
      <c r="GI35" s="34" t="e">
        <f>AND(#REF!,"AAAAAHvfp74=")</f>
        <v>#REF!</v>
      </c>
      <c r="GJ35" s="34" t="e">
        <f>AND(#REF!,"AAAAAHvfp78=")</f>
        <v>#REF!</v>
      </c>
      <c r="GK35" s="34" t="e">
        <f>AND(#REF!,"AAAAAHvfp8A=")</f>
        <v>#REF!</v>
      </c>
      <c r="GL35" s="34" t="e">
        <f>AND(#REF!,"AAAAAHvfp8E=")</f>
        <v>#REF!</v>
      </c>
      <c r="GM35" s="34" t="e">
        <f>AND(#REF!,"AAAAAHvfp8I=")</f>
        <v>#REF!</v>
      </c>
      <c r="GN35" s="34" t="e">
        <f>AND(#REF!,"AAAAAHvfp8M=")</f>
        <v>#REF!</v>
      </c>
      <c r="GO35" s="34" t="e">
        <f>AND(#REF!,"AAAAAHvfp8Q=")</f>
        <v>#REF!</v>
      </c>
      <c r="GP35" s="34" t="e">
        <f>AND(#REF!,"AAAAAHvfp8U=")</f>
        <v>#REF!</v>
      </c>
      <c r="GQ35" s="34" t="e">
        <f>AND(#REF!,"AAAAAHvfp8Y=")</f>
        <v>#REF!</v>
      </c>
      <c r="GR35" s="34" t="e">
        <f>AND(#REF!,"AAAAAHvfp8c=")</f>
        <v>#REF!</v>
      </c>
      <c r="GS35" s="34" t="e">
        <f>AND(#REF!,"AAAAAHvfp8g=")</f>
        <v>#REF!</v>
      </c>
      <c r="GT35" s="34" t="e">
        <f>AND(#REF!,"AAAAAHvfp8k=")</f>
        <v>#REF!</v>
      </c>
      <c r="GU35" s="34" t="e">
        <f>AND(#REF!,"AAAAAHvfp8o=")</f>
        <v>#REF!</v>
      </c>
      <c r="GV35" s="34" t="e">
        <f>AND(#REF!,"AAAAAHvfp8s=")</f>
        <v>#REF!</v>
      </c>
      <c r="GW35" s="34" t="e">
        <f>AND(#REF!,"AAAAAHvfp8w=")</f>
        <v>#REF!</v>
      </c>
      <c r="GX35" s="34" t="e">
        <f>AND(#REF!,"AAAAAHvfp80=")</f>
        <v>#REF!</v>
      </c>
      <c r="GY35" s="34" t="e">
        <f>AND(#REF!,"AAAAAHvfp84=")</f>
        <v>#REF!</v>
      </c>
      <c r="GZ35" s="34" t="e">
        <f>AND(#REF!,"AAAAAHvfp88=")</f>
        <v>#REF!</v>
      </c>
      <c r="HA35" s="34" t="e">
        <f>AND(#REF!,"AAAAAHvfp9A=")</f>
        <v>#REF!</v>
      </c>
      <c r="HB35" s="34" t="e">
        <f>AND(#REF!,"AAAAAHvfp9E=")</f>
        <v>#REF!</v>
      </c>
      <c r="HC35" s="34" t="e">
        <f>AND(#REF!,"AAAAAHvfp9I=")</f>
        <v>#REF!</v>
      </c>
      <c r="HD35" s="34" t="e">
        <f>AND(#REF!,"AAAAAHvfp9M=")</f>
        <v>#REF!</v>
      </c>
      <c r="HE35" s="34" t="e">
        <f>AND(#REF!,"AAAAAHvfp9Q=")</f>
        <v>#REF!</v>
      </c>
      <c r="HF35" s="34" t="e">
        <f>AND(#REF!,"AAAAAHvfp9U=")</f>
        <v>#REF!</v>
      </c>
      <c r="HG35" s="34" t="e">
        <f>AND(#REF!,"AAAAAHvfp9Y=")</f>
        <v>#REF!</v>
      </c>
      <c r="HH35" s="34" t="e">
        <f>AND(#REF!,"AAAAAHvfp9c=")</f>
        <v>#REF!</v>
      </c>
      <c r="HI35" s="34" t="e">
        <f>AND(#REF!,"AAAAAHvfp9g=")</f>
        <v>#REF!</v>
      </c>
      <c r="HJ35" s="34" t="e">
        <f>AND(#REF!,"AAAAAHvfp9k=")</f>
        <v>#REF!</v>
      </c>
      <c r="HK35" s="34" t="e">
        <f>AND(#REF!,"AAAAAHvfp9o=")</f>
        <v>#REF!</v>
      </c>
      <c r="HL35" s="34" t="e">
        <f>AND(#REF!,"AAAAAHvfp9s=")</f>
        <v>#REF!</v>
      </c>
      <c r="HM35" s="34" t="e">
        <f>AND(#REF!,"AAAAAHvfp9w=")</f>
        <v>#REF!</v>
      </c>
      <c r="HN35" s="34" t="e">
        <f>AND(#REF!,"AAAAAHvfp90=")</f>
        <v>#REF!</v>
      </c>
      <c r="HO35" s="34" t="e">
        <f>AND(#REF!,"AAAAAHvfp94=")</f>
        <v>#REF!</v>
      </c>
      <c r="HP35" s="34" t="e">
        <f>AND(#REF!,"AAAAAHvfp98=")</f>
        <v>#REF!</v>
      </c>
      <c r="HQ35" s="34" t="e">
        <f>AND(#REF!,"AAAAAHvfp+A=")</f>
        <v>#REF!</v>
      </c>
      <c r="HR35" s="34" t="e">
        <f>AND(#REF!,"AAAAAHvfp+E=")</f>
        <v>#REF!</v>
      </c>
      <c r="HS35" s="34" t="e">
        <f>AND(#REF!,"AAAAAHvfp+I=")</f>
        <v>#REF!</v>
      </c>
      <c r="HT35" s="34" t="e">
        <f>IF(#REF!,"AAAAAHvfp+M=",0)</f>
        <v>#REF!</v>
      </c>
      <c r="HU35" s="34" t="e">
        <f>AND(#REF!,"AAAAAHvfp+Q=")</f>
        <v>#REF!</v>
      </c>
      <c r="HV35" s="34" t="e">
        <f>AND(#REF!,"AAAAAHvfp+U=")</f>
        <v>#REF!</v>
      </c>
      <c r="HW35" s="34" t="e">
        <f>AND(#REF!,"AAAAAHvfp+Y=")</f>
        <v>#REF!</v>
      </c>
      <c r="HX35" s="34" t="e">
        <f>AND(#REF!,"AAAAAHvfp+c=")</f>
        <v>#REF!</v>
      </c>
      <c r="HY35" s="34" t="e">
        <f>AND(#REF!,"AAAAAHvfp+g=")</f>
        <v>#REF!</v>
      </c>
      <c r="HZ35" s="34" t="e">
        <f>AND(#REF!,"AAAAAHvfp+k=")</f>
        <v>#REF!</v>
      </c>
      <c r="IA35" s="34" t="e">
        <f>AND(#REF!,"AAAAAHvfp+o=")</f>
        <v>#REF!</v>
      </c>
      <c r="IB35" s="34" t="e">
        <f>AND(#REF!,"AAAAAHvfp+s=")</f>
        <v>#REF!</v>
      </c>
      <c r="IC35" s="34" t="e">
        <f>AND(#REF!,"AAAAAHvfp+w=")</f>
        <v>#REF!</v>
      </c>
      <c r="ID35" s="34" t="e">
        <f>AND(#REF!,"AAAAAHvfp+0=")</f>
        <v>#REF!</v>
      </c>
      <c r="IE35" s="34" t="e">
        <f>AND(#REF!,"AAAAAHvfp+4=")</f>
        <v>#REF!</v>
      </c>
      <c r="IF35" s="34" t="e">
        <f>AND(#REF!,"AAAAAHvfp+8=")</f>
        <v>#REF!</v>
      </c>
      <c r="IG35" s="34" t="e">
        <f>AND(#REF!,"AAAAAHvfp/A=")</f>
        <v>#REF!</v>
      </c>
      <c r="IH35" s="34" t="e">
        <f>AND(#REF!,"AAAAAHvfp/E=")</f>
        <v>#REF!</v>
      </c>
      <c r="II35" s="34" t="e">
        <f>AND(#REF!,"AAAAAHvfp/I=")</f>
        <v>#REF!</v>
      </c>
      <c r="IJ35" s="34" t="e">
        <f>AND(#REF!,"AAAAAHvfp/M=")</f>
        <v>#REF!</v>
      </c>
      <c r="IK35" s="34" t="e">
        <f>AND(#REF!,"AAAAAHvfp/Q=")</f>
        <v>#REF!</v>
      </c>
      <c r="IL35" s="34" t="e">
        <f>AND(#REF!,"AAAAAHvfp/U=")</f>
        <v>#REF!</v>
      </c>
      <c r="IM35" s="34" t="e">
        <f>AND(#REF!,"AAAAAHvfp/Y=")</f>
        <v>#REF!</v>
      </c>
      <c r="IN35" s="34" t="e">
        <f>AND(#REF!,"AAAAAHvfp/c=")</f>
        <v>#REF!</v>
      </c>
      <c r="IO35" s="34" t="e">
        <f>AND(#REF!,"AAAAAHvfp/g=")</f>
        <v>#REF!</v>
      </c>
      <c r="IP35" s="34" t="e">
        <f>AND(#REF!,"AAAAAHvfp/k=")</f>
        <v>#REF!</v>
      </c>
      <c r="IQ35" s="34" t="e">
        <f>AND(#REF!,"AAAAAHvfp/o=")</f>
        <v>#REF!</v>
      </c>
      <c r="IR35" s="34" t="e">
        <f>AND(#REF!,"AAAAAHvfp/s=")</f>
        <v>#REF!</v>
      </c>
      <c r="IS35" s="34" t="e">
        <f>AND(#REF!,"AAAAAHvfp/w=")</f>
        <v>#REF!</v>
      </c>
      <c r="IT35" s="34" t="e">
        <f>AND(#REF!,"AAAAAHvfp/0=")</f>
        <v>#REF!</v>
      </c>
      <c r="IU35" s="34" t="e">
        <f>AND(#REF!,"AAAAAHvfp/4=")</f>
        <v>#REF!</v>
      </c>
      <c r="IV35" s="34" t="e">
        <f>AND(#REF!,"AAAAAHvfp/8=")</f>
        <v>#REF!</v>
      </c>
    </row>
    <row r="36" spans="1:256" ht="12.75" customHeight="1" x14ac:dyDescent="0.2">
      <c r="A36" s="34" t="e">
        <f>AND(#REF!,"AAAAAH9d3wA=")</f>
        <v>#REF!</v>
      </c>
      <c r="B36" s="34" t="e">
        <f>AND(#REF!,"AAAAAH9d3wE=")</f>
        <v>#REF!</v>
      </c>
      <c r="C36" s="34" t="e">
        <f>AND(#REF!,"AAAAAH9d3wI=")</f>
        <v>#REF!</v>
      </c>
      <c r="D36" s="34" t="e">
        <f>AND(#REF!,"AAAAAH9d3wM=")</f>
        <v>#REF!</v>
      </c>
      <c r="E36" s="34" t="e">
        <f>AND(#REF!,"AAAAAH9d3wQ=")</f>
        <v>#REF!</v>
      </c>
      <c r="F36" s="34" t="e">
        <f>AND(#REF!,"AAAAAH9d3wU=")</f>
        <v>#REF!</v>
      </c>
      <c r="G36" s="34" t="e">
        <f>AND(#REF!,"AAAAAH9d3wY=")</f>
        <v>#REF!</v>
      </c>
      <c r="H36" s="34" t="e">
        <f>AND(#REF!,"AAAAAH9d3wc=")</f>
        <v>#REF!</v>
      </c>
      <c r="I36" s="34" t="e">
        <f>AND(#REF!,"AAAAAH9d3wg=")</f>
        <v>#REF!</v>
      </c>
      <c r="J36" s="34" t="e">
        <f>AND(#REF!,"AAAAAH9d3wk=")</f>
        <v>#REF!</v>
      </c>
      <c r="K36" s="34" t="e">
        <f>AND(#REF!,"AAAAAH9d3wo=")</f>
        <v>#REF!</v>
      </c>
      <c r="L36" s="34" t="e">
        <f>AND(#REF!,"AAAAAH9d3ws=")</f>
        <v>#REF!</v>
      </c>
      <c r="M36" s="34" t="e">
        <f>AND(#REF!,"AAAAAH9d3ww=")</f>
        <v>#REF!</v>
      </c>
      <c r="N36" s="34" t="e">
        <f>AND(#REF!,"AAAAAH9d3w0=")</f>
        <v>#REF!</v>
      </c>
      <c r="O36" s="34" t="e">
        <f>AND(#REF!,"AAAAAH9d3w4=")</f>
        <v>#REF!</v>
      </c>
      <c r="P36" s="34" t="e">
        <f>AND(#REF!,"AAAAAH9d3w8=")</f>
        <v>#REF!</v>
      </c>
      <c r="Q36" s="34" t="e">
        <f>AND(#REF!,"AAAAAH9d3xA=")</f>
        <v>#REF!</v>
      </c>
      <c r="R36" s="34" t="e">
        <f>AND(#REF!,"AAAAAH9d3xE=")</f>
        <v>#REF!</v>
      </c>
      <c r="S36" s="34" t="e">
        <f>AND(#REF!,"AAAAAH9d3xI=")</f>
        <v>#REF!</v>
      </c>
      <c r="T36" s="34" t="e">
        <f>AND(#REF!,"AAAAAH9d3xM=")</f>
        <v>#REF!</v>
      </c>
      <c r="U36" s="34" t="e">
        <f>AND(#REF!,"AAAAAH9d3xQ=")</f>
        <v>#REF!</v>
      </c>
      <c r="V36" s="34" t="e">
        <f>AND(#REF!,"AAAAAH9d3xU=")</f>
        <v>#REF!</v>
      </c>
      <c r="W36" s="34" t="e">
        <f>AND(#REF!,"AAAAAH9d3xY=")</f>
        <v>#REF!</v>
      </c>
      <c r="X36" s="34" t="e">
        <f>AND(#REF!,"AAAAAH9d3xc=")</f>
        <v>#REF!</v>
      </c>
      <c r="Y36" s="34" t="e">
        <f>AND(#REF!,"AAAAAH9d3xg=")</f>
        <v>#REF!</v>
      </c>
      <c r="Z36" s="34" t="e">
        <f>AND(#REF!,"AAAAAH9d3xk=")</f>
        <v>#REF!</v>
      </c>
      <c r="AA36" s="34" t="e">
        <f>AND(#REF!,"AAAAAH9d3xo=")</f>
        <v>#REF!</v>
      </c>
      <c r="AB36" s="34" t="e">
        <f>AND(#REF!,"AAAAAH9d3xs=")</f>
        <v>#REF!</v>
      </c>
      <c r="AC36" s="34" t="e">
        <f>AND(#REF!,"AAAAAH9d3xw=")</f>
        <v>#REF!</v>
      </c>
      <c r="AD36" s="34" t="e">
        <f>AND(#REF!,"AAAAAH9d3x0=")</f>
        <v>#REF!</v>
      </c>
      <c r="AE36" s="34" t="e">
        <f>AND(#REF!,"AAAAAH9d3x4=")</f>
        <v>#REF!</v>
      </c>
      <c r="AF36" s="34" t="e">
        <f>AND(#REF!,"AAAAAH9d3x8=")</f>
        <v>#REF!</v>
      </c>
      <c r="AG36" s="34" t="e">
        <f>AND(#REF!,"AAAAAH9d3yA=")</f>
        <v>#REF!</v>
      </c>
      <c r="AH36" s="34" t="e">
        <f>AND(#REF!,"AAAAAH9d3yE=")</f>
        <v>#REF!</v>
      </c>
      <c r="AI36" s="34" t="e">
        <f>AND(#REF!,"AAAAAH9d3yI=")</f>
        <v>#REF!</v>
      </c>
      <c r="AJ36" s="34" t="e">
        <f>AND(#REF!,"AAAAAH9d3yM=")</f>
        <v>#REF!</v>
      </c>
      <c r="AK36" s="34" t="e">
        <f>AND(#REF!,"AAAAAH9d3yQ=")</f>
        <v>#REF!</v>
      </c>
      <c r="AL36" s="34" t="e">
        <f>AND(#REF!,"AAAAAH9d3yU=")</f>
        <v>#REF!</v>
      </c>
      <c r="AM36" s="34" t="e">
        <f>AND(#REF!,"AAAAAH9d3yY=")</f>
        <v>#REF!</v>
      </c>
      <c r="AN36" s="34" t="e">
        <f>AND(#REF!,"AAAAAH9d3yc=")</f>
        <v>#REF!</v>
      </c>
      <c r="AO36" s="34" t="e">
        <f>AND(#REF!,"AAAAAH9d3yg=")</f>
        <v>#REF!</v>
      </c>
      <c r="AP36" s="34" t="e">
        <f>AND(#REF!,"AAAAAH9d3yk=")</f>
        <v>#REF!</v>
      </c>
      <c r="AQ36" s="34" t="e">
        <f>AND(#REF!,"AAAAAH9d3yo=")</f>
        <v>#REF!</v>
      </c>
      <c r="AR36" s="34" t="e">
        <f>AND(#REF!,"AAAAAH9d3ys=")</f>
        <v>#REF!</v>
      </c>
      <c r="AS36" s="34" t="e">
        <f>IF(#REF!,"AAAAAH9d3yw=",0)</f>
        <v>#REF!</v>
      </c>
      <c r="AT36" s="34" t="e">
        <f>AND(#REF!,"AAAAAH9d3y0=")</f>
        <v>#REF!</v>
      </c>
      <c r="AU36" s="34" t="e">
        <f>AND(#REF!,"AAAAAH9d3y4=")</f>
        <v>#REF!</v>
      </c>
      <c r="AV36" s="34" t="e">
        <f>AND(#REF!,"AAAAAH9d3y8=")</f>
        <v>#REF!</v>
      </c>
      <c r="AW36" s="34" t="e">
        <f>AND(#REF!,"AAAAAH9d3zA=")</f>
        <v>#REF!</v>
      </c>
      <c r="AX36" s="34" t="e">
        <f>AND(#REF!,"AAAAAH9d3zE=")</f>
        <v>#REF!</v>
      </c>
      <c r="AY36" s="34" t="e">
        <f>AND(#REF!,"AAAAAH9d3zI=")</f>
        <v>#REF!</v>
      </c>
      <c r="AZ36" s="34" t="e">
        <f>AND(#REF!,"AAAAAH9d3zM=")</f>
        <v>#REF!</v>
      </c>
      <c r="BA36" s="34" t="e">
        <f>AND(#REF!,"AAAAAH9d3zQ=")</f>
        <v>#REF!</v>
      </c>
      <c r="BB36" s="34" t="e">
        <f>AND(#REF!,"AAAAAH9d3zU=")</f>
        <v>#REF!</v>
      </c>
      <c r="BC36" s="34" t="e">
        <f>AND(#REF!,"AAAAAH9d3zY=")</f>
        <v>#REF!</v>
      </c>
      <c r="BD36" s="34" t="e">
        <f>AND(#REF!,"AAAAAH9d3zc=")</f>
        <v>#REF!</v>
      </c>
      <c r="BE36" s="34" t="e">
        <f>AND(#REF!,"AAAAAH9d3zg=")</f>
        <v>#REF!</v>
      </c>
      <c r="BF36" s="34" t="e">
        <f>AND(#REF!,"AAAAAH9d3zk=")</f>
        <v>#REF!</v>
      </c>
      <c r="BG36" s="34" t="e">
        <f>AND(#REF!,"AAAAAH9d3zo=")</f>
        <v>#REF!</v>
      </c>
      <c r="BH36" s="34" t="e">
        <f>AND(#REF!,"AAAAAH9d3zs=")</f>
        <v>#REF!</v>
      </c>
      <c r="BI36" s="34" t="e">
        <f>AND(#REF!,"AAAAAH9d3zw=")</f>
        <v>#REF!</v>
      </c>
      <c r="BJ36" s="34" t="e">
        <f>AND(#REF!,"AAAAAH9d3z0=")</f>
        <v>#REF!</v>
      </c>
      <c r="BK36" s="34" t="e">
        <f>AND(#REF!,"AAAAAH9d3z4=")</f>
        <v>#REF!</v>
      </c>
      <c r="BL36" s="34" t="e">
        <f>AND(#REF!,"AAAAAH9d3z8=")</f>
        <v>#REF!</v>
      </c>
      <c r="BM36" s="34" t="e">
        <f>AND(#REF!,"AAAAAH9d30A=")</f>
        <v>#REF!</v>
      </c>
      <c r="BN36" s="34" t="e">
        <f>AND(#REF!,"AAAAAH9d30E=")</f>
        <v>#REF!</v>
      </c>
      <c r="BO36" s="34" t="e">
        <f>AND(#REF!,"AAAAAH9d30I=")</f>
        <v>#REF!</v>
      </c>
      <c r="BP36" s="34" t="e">
        <f>AND(#REF!,"AAAAAH9d30M=")</f>
        <v>#REF!</v>
      </c>
      <c r="BQ36" s="34" t="e">
        <f>AND(#REF!,"AAAAAH9d30Q=")</f>
        <v>#REF!</v>
      </c>
      <c r="BR36" s="34" t="e">
        <f>AND(#REF!,"AAAAAH9d30U=")</f>
        <v>#REF!</v>
      </c>
      <c r="BS36" s="34" t="e">
        <f>AND(#REF!,"AAAAAH9d30Y=")</f>
        <v>#REF!</v>
      </c>
      <c r="BT36" s="34" t="e">
        <f>AND(#REF!,"AAAAAH9d30c=")</f>
        <v>#REF!</v>
      </c>
      <c r="BU36" s="34" t="e">
        <f>AND(#REF!,"AAAAAH9d30g=")</f>
        <v>#REF!</v>
      </c>
      <c r="BV36" s="34" t="e">
        <f>AND(#REF!,"AAAAAH9d30k=")</f>
        <v>#REF!</v>
      </c>
      <c r="BW36" s="34" t="e">
        <f>AND(#REF!,"AAAAAH9d30o=")</f>
        <v>#REF!</v>
      </c>
      <c r="BX36" s="34" t="e">
        <f>AND(#REF!,"AAAAAH9d30s=")</f>
        <v>#REF!</v>
      </c>
      <c r="BY36" s="34" t="e">
        <f>AND(#REF!,"AAAAAH9d30w=")</f>
        <v>#REF!</v>
      </c>
      <c r="BZ36" s="34" t="e">
        <f>AND(#REF!,"AAAAAH9d300=")</f>
        <v>#REF!</v>
      </c>
      <c r="CA36" s="34" t="e">
        <f>AND(#REF!,"AAAAAH9d304=")</f>
        <v>#REF!</v>
      </c>
      <c r="CB36" s="34" t="e">
        <f>AND(#REF!,"AAAAAH9d308=")</f>
        <v>#REF!</v>
      </c>
      <c r="CC36" s="34" t="e">
        <f>AND(#REF!,"AAAAAH9d31A=")</f>
        <v>#REF!</v>
      </c>
      <c r="CD36" s="34" t="e">
        <f>AND(#REF!,"AAAAAH9d31E=")</f>
        <v>#REF!</v>
      </c>
      <c r="CE36" s="34" t="e">
        <f>AND(#REF!,"AAAAAH9d31I=")</f>
        <v>#REF!</v>
      </c>
      <c r="CF36" s="34" t="e">
        <f>AND(#REF!,"AAAAAH9d31M=")</f>
        <v>#REF!</v>
      </c>
      <c r="CG36" s="34" t="e">
        <f>AND(#REF!,"AAAAAH9d31Q=")</f>
        <v>#REF!</v>
      </c>
      <c r="CH36" s="34" t="e">
        <f>AND(#REF!,"AAAAAH9d31U=")</f>
        <v>#REF!</v>
      </c>
      <c r="CI36" s="34" t="e">
        <f>AND(#REF!,"AAAAAH9d31Y=")</f>
        <v>#REF!</v>
      </c>
      <c r="CJ36" s="34" t="e">
        <f>AND(#REF!,"AAAAAH9d31c=")</f>
        <v>#REF!</v>
      </c>
      <c r="CK36" s="34" t="e">
        <f>AND(#REF!,"AAAAAH9d31g=")</f>
        <v>#REF!</v>
      </c>
      <c r="CL36" s="34" t="e">
        <f>AND(#REF!,"AAAAAH9d31k=")</f>
        <v>#REF!</v>
      </c>
      <c r="CM36" s="34" t="e">
        <f>AND(#REF!,"AAAAAH9d31o=")</f>
        <v>#REF!</v>
      </c>
      <c r="CN36" s="34" t="e">
        <f>AND(#REF!,"AAAAAH9d31s=")</f>
        <v>#REF!</v>
      </c>
      <c r="CO36" s="34" t="e">
        <f>AND(#REF!,"AAAAAH9d31w=")</f>
        <v>#REF!</v>
      </c>
      <c r="CP36" s="34" t="e">
        <f>AND(#REF!,"AAAAAH9d310=")</f>
        <v>#REF!</v>
      </c>
      <c r="CQ36" s="34" t="e">
        <f>AND(#REF!,"AAAAAH9d314=")</f>
        <v>#REF!</v>
      </c>
      <c r="CR36" s="34" t="e">
        <f>AND(#REF!,"AAAAAH9d318=")</f>
        <v>#REF!</v>
      </c>
      <c r="CS36" s="34" t="e">
        <f>AND(#REF!,"AAAAAH9d32A=")</f>
        <v>#REF!</v>
      </c>
      <c r="CT36" s="34" t="e">
        <f>AND(#REF!,"AAAAAH9d32E=")</f>
        <v>#REF!</v>
      </c>
      <c r="CU36" s="34" t="e">
        <f>AND(#REF!,"AAAAAH9d32I=")</f>
        <v>#REF!</v>
      </c>
      <c r="CV36" s="34" t="e">
        <f>AND(#REF!,"AAAAAH9d32M=")</f>
        <v>#REF!</v>
      </c>
      <c r="CW36" s="34" t="e">
        <f>AND(#REF!,"AAAAAH9d32Q=")</f>
        <v>#REF!</v>
      </c>
      <c r="CX36" s="34" t="e">
        <f>AND(#REF!,"AAAAAH9d32U=")</f>
        <v>#REF!</v>
      </c>
      <c r="CY36" s="34" t="e">
        <f>AND(#REF!,"AAAAAH9d32Y=")</f>
        <v>#REF!</v>
      </c>
      <c r="CZ36" s="34" t="e">
        <f>AND(#REF!,"AAAAAH9d32c=")</f>
        <v>#REF!</v>
      </c>
      <c r="DA36" s="34" t="e">
        <f>AND(#REF!,"AAAAAH9d32g=")</f>
        <v>#REF!</v>
      </c>
      <c r="DB36" s="34" t="e">
        <f>AND(#REF!,"AAAAAH9d32k=")</f>
        <v>#REF!</v>
      </c>
      <c r="DC36" s="34" t="e">
        <f>AND(#REF!,"AAAAAH9d32o=")</f>
        <v>#REF!</v>
      </c>
      <c r="DD36" s="34" t="e">
        <f>AND(#REF!,"AAAAAH9d32s=")</f>
        <v>#REF!</v>
      </c>
      <c r="DE36" s="34" t="e">
        <f>AND(#REF!,"AAAAAH9d32w=")</f>
        <v>#REF!</v>
      </c>
      <c r="DF36" s="34" t="e">
        <f>AND(#REF!,"AAAAAH9d320=")</f>
        <v>#REF!</v>
      </c>
      <c r="DG36" s="34" t="e">
        <f>AND(#REF!,"AAAAAH9d324=")</f>
        <v>#REF!</v>
      </c>
      <c r="DH36" s="34" t="e">
        <f>AND(#REF!,"AAAAAH9d328=")</f>
        <v>#REF!</v>
      </c>
      <c r="DI36" s="34" t="e">
        <f>AND(#REF!,"AAAAAH9d33A=")</f>
        <v>#REF!</v>
      </c>
      <c r="DJ36" s="34" t="e">
        <f>AND(#REF!,"AAAAAH9d33E=")</f>
        <v>#REF!</v>
      </c>
      <c r="DK36" s="34" t="e">
        <f>AND(#REF!,"AAAAAH9d33I=")</f>
        <v>#REF!</v>
      </c>
      <c r="DL36" s="34" t="e">
        <f>AND(#REF!,"AAAAAH9d33M=")</f>
        <v>#REF!</v>
      </c>
      <c r="DM36" s="34" t="e">
        <f>AND(#REF!,"AAAAAH9d33Q=")</f>
        <v>#REF!</v>
      </c>
      <c r="DN36" s="34" t="e">
        <f>IF(#REF!,"AAAAAH9d33U=",0)</f>
        <v>#REF!</v>
      </c>
      <c r="DO36" s="34" t="e">
        <f>AND(#REF!,"AAAAAH9d33Y=")</f>
        <v>#REF!</v>
      </c>
      <c r="DP36" s="34" t="e">
        <f>AND(#REF!,"AAAAAH9d33c=")</f>
        <v>#REF!</v>
      </c>
      <c r="DQ36" s="34" t="e">
        <f>AND(#REF!,"AAAAAH9d33g=")</f>
        <v>#REF!</v>
      </c>
      <c r="DR36" s="34" t="e">
        <f>AND(#REF!,"AAAAAH9d33k=")</f>
        <v>#REF!</v>
      </c>
      <c r="DS36" s="34" t="e">
        <f>AND(#REF!,"AAAAAH9d33o=")</f>
        <v>#REF!</v>
      </c>
      <c r="DT36" s="34" t="e">
        <f>AND(#REF!,"AAAAAH9d33s=")</f>
        <v>#REF!</v>
      </c>
      <c r="DU36" s="34" t="e">
        <f>AND(#REF!,"AAAAAH9d33w=")</f>
        <v>#REF!</v>
      </c>
      <c r="DV36" s="34" t="e">
        <f>AND(#REF!,"AAAAAH9d330=")</f>
        <v>#REF!</v>
      </c>
      <c r="DW36" s="34" t="e">
        <f>AND(#REF!,"AAAAAH9d334=")</f>
        <v>#REF!</v>
      </c>
      <c r="DX36" s="34" t="e">
        <f>AND(#REF!,"AAAAAH9d338=")</f>
        <v>#REF!</v>
      </c>
      <c r="DY36" s="34" t="e">
        <f>AND(#REF!,"AAAAAH9d34A=")</f>
        <v>#REF!</v>
      </c>
      <c r="DZ36" s="34" t="e">
        <f>AND(#REF!,"AAAAAH9d34E=")</f>
        <v>#REF!</v>
      </c>
      <c r="EA36" s="34" t="e">
        <f>AND(#REF!,"AAAAAH9d34I=")</f>
        <v>#REF!</v>
      </c>
      <c r="EB36" s="34" t="e">
        <f>AND(#REF!,"AAAAAH9d34M=")</f>
        <v>#REF!</v>
      </c>
      <c r="EC36" s="34" t="e">
        <f>AND(#REF!,"AAAAAH9d34Q=")</f>
        <v>#REF!</v>
      </c>
      <c r="ED36" s="34" t="e">
        <f>AND(#REF!,"AAAAAH9d34U=")</f>
        <v>#REF!</v>
      </c>
      <c r="EE36" s="34" t="e">
        <f>AND(#REF!,"AAAAAH9d34Y=")</f>
        <v>#REF!</v>
      </c>
      <c r="EF36" s="34" t="e">
        <f>AND(#REF!,"AAAAAH9d34c=")</f>
        <v>#REF!</v>
      </c>
      <c r="EG36" s="34" t="e">
        <f>AND(#REF!,"AAAAAH9d34g=")</f>
        <v>#REF!</v>
      </c>
      <c r="EH36" s="34" t="e">
        <f>AND(#REF!,"AAAAAH9d34k=")</f>
        <v>#REF!</v>
      </c>
      <c r="EI36" s="34" t="e">
        <f>AND(#REF!,"AAAAAH9d34o=")</f>
        <v>#REF!</v>
      </c>
      <c r="EJ36" s="34" t="e">
        <f>AND(#REF!,"AAAAAH9d34s=")</f>
        <v>#REF!</v>
      </c>
      <c r="EK36" s="34" t="e">
        <f>AND(#REF!,"AAAAAH9d34w=")</f>
        <v>#REF!</v>
      </c>
      <c r="EL36" s="34" t="e">
        <f>AND(#REF!,"AAAAAH9d340=")</f>
        <v>#REF!</v>
      </c>
      <c r="EM36" s="34" t="e">
        <f>AND(#REF!,"AAAAAH9d344=")</f>
        <v>#REF!</v>
      </c>
      <c r="EN36" s="34" t="e">
        <f>AND(#REF!,"AAAAAH9d348=")</f>
        <v>#REF!</v>
      </c>
      <c r="EO36" s="34" t="e">
        <f>AND(#REF!,"AAAAAH9d35A=")</f>
        <v>#REF!</v>
      </c>
      <c r="EP36" s="34" t="e">
        <f>AND(#REF!,"AAAAAH9d35E=")</f>
        <v>#REF!</v>
      </c>
      <c r="EQ36" s="34" t="e">
        <f>AND(#REF!,"AAAAAH9d35I=")</f>
        <v>#REF!</v>
      </c>
      <c r="ER36" s="34" t="e">
        <f>AND(#REF!,"AAAAAH9d35M=")</f>
        <v>#REF!</v>
      </c>
      <c r="ES36" s="34" t="e">
        <f>AND(#REF!,"AAAAAH9d35Q=")</f>
        <v>#REF!</v>
      </c>
      <c r="ET36" s="34" t="e">
        <f>AND(#REF!,"AAAAAH9d35U=")</f>
        <v>#REF!</v>
      </c>
      <c r="EU36" s="34" t="e">
        <f>AND(#REF!,"AAAAAH9d35Y=")</f>
        <v>#REF!</v>
      </c>
      <c r="EV36" s="34" t="e">
        <f>AND(#REF!,"AAAAAH9d35c=")</f>
        <v>#REF!</v>
      </c>
      <c r="EW36" s="34" t="e">
        <f>AND(#REF!,"AAAAAH9d35g=")</f>
        <v>#REF!</v>
      </c>
      <c r="EX36" s="34" t="e">
        <f>AND(#REF!,"AAAAAH9d35k=")</f>
        <v>#REF!</v>
      </c>
      <c r="EY36" s="34" t="e">
        <f>AND(#REF!,"AAAAAH9d35o=")</f>
        <v>#REF!</v>
      </c>
      <c r="EZ36" s="34" t="e">
        <f>AND(#REF!,"AAAAAH9d35s=")</f>
        <v>#REF!</v>
      </c>
      <c r="FA36" s="34" t="e">
        <f>AND(#REF!,"AAAAAH9d35w=")</f>
        <v>#REF!</v>
      </c>
      <c r="FB36" s="34" t="e">
        <f>AND(#REF!,"AAAAAH9d350=")</f>
        <v>#REF!</v>
      </c>
      <c r="FC36" s="34" t="e">
        <f>AND(#REF!,"AAAAAH9d354=")</f>
        <v>#REF!</v>
      </c>
      <c r="FD36" s="34" t="e">
        <f>AND(#REF!,"AAAAAH9d358=")</f>
        <v>#REF!</v>
      </c>
      <c r="FE36" s="34" t="e">
        <f>AND(#REF!,"AAAAAH9d36A=")</f>
        <v>#REF!</v>
      </c>
      <c r="FF36" s="34" t="e">
        <f>AND(#REF!,"AAAAAH9d36E=")</f>
        <v>#REF!</v>
      </c>
      <c r="FG36" s="34" t="e">
        <f>AND(#REF!,"AAAAAH9d36I=")</f>
        <v>#REF!</v>
      </c>
      <c r="FH36" s="34" t="e">
        <f>AND(#REF!,"AAAAAH9d36M=")</f>
        <v>#REF!</v>
      </c>
      <c r="FI36" s="34" t="e">
        <f>AND(#REF!,"AAAAAH9d36Q=")</f>
        <v>#REF!</v>
      </c>
      <c r="FJ36" s="34" t="e">
        <f>AND(#REF!,"AAAAAH9d36U=")</f>
        <v>#REF!</v>
      </c>
      <c r="FK36" s="34" t="e">
        <f>AND(#REF!,"AAAAAH9d36Y=")</f>
        <v>#REF!</v>
      </c>
      <c r="FL36" s="34" t="e">
        <f>AND(#REF!,"AAAAAH9d36c=")</f>
        <v>#REF!</v>
      </c>
      <c r="FM36" s="34" t="e">
        <f>AND(#REF!,"AAAAAH9d36g=")</f>
        <v>#REF!</v>
      </c>
      <c r="FN36" s="34" t="e">
        <f>AND(#REF!,"AAAAAH9d36k=")</f>
        <v>#REF!</v>
      </c>
      <c r="FO36" s="34" t="e">
        <f>AND(#REF!,"AAAAAH9d36o=")</f>
        <v>#REF!</v>
      </c>
      <c r="FP36" s="34" t="e">
        <f>AND(#REF!,"AAAAAH9d36s=")</f>
        <v>#REF!</v>
      </c>
      <c r="FQ36" s="34" t="e">
        <f>AND(#REF!,"AAAAAH9d36w=")</f>
        <v>#REF!</v>
      </c>
      <c r="FR36" s="34" t="e">
        <f>AND(#REF!,"AAAAAH9d360=")</f>
        <v>#REF!</v>
      </c>
      <c r="FS36" s="34" t="e">
        <f>AND(#REF!,"AAAAAH9d364=")</f>
        <v>#REF!</v>
      </c>
      <c r="FT36" s="34" t="e">
        <f>AND(#REF!,"AAAAAH9d368=")</f>
        <v>#REF!</v>
      </c>
      <c r="FU36" s="34" t="e">
        <f>AND(#REF!,"AAAAAH9d37A=")</f>
        <v>#REF!</v>
      </c>
      <c r="FV36" s="34" t="e">
        <f>AND(#REF!,"AAAAAH9d37E=")</f>
        <v>#REF!</v>
      </c>
      <c r="FW36" s="34" t="e">
        <f>AND(#REF!,"AAAAAH9d37I=")</f>
        <v>#REF!</v>
      </c>
      <c r="FX36" s="34" t="e">
        <f>AND(#REF!,"AAAAAH9d37M=")</f>
        <v>#REF!</v>
      </c>
      <c r="FY36" s="34" t="e">
        <f>AND(#REF!,"AAAAAH9d37Q=")</f>
        <v>#REF!</v>
      </c>
      <c r="FZ36" s="34" t="e">
        <f>AND(#REF!,"AAAAAH9d37U=")</f>
        <v>#REF!</v>
      </c>
      <c r="GA36" s="34" t="e">
        <f>AND(#REF!,"AAAAAH9d37Y=")</f>
        <v>#REF!</v>
      </c>
      <c r="GB36" s="34" t="e">
        <f>AND(#REF!,"AAAAAH9d37c=")</f>
        <v>#REF!</v>
      </c>
      <c r="GC36" s="34" t="e">
        <f>AND(#REF!,"AAAAAH9d37g=")</f>
        <v>#REF!</v>
      </c>
      <c r="GD36" s="34" t="e">
        <f>AND(#REF!,"AAAAAH9d37k=")</f>
        <v>#REF!</v>
      </c>
      <c r="GE36" s="34" t="e">
        <f>AND(#REF!,"AAAAAH9d37o=")</f>
        <v>#REF!</v>
      </c>
      <c r="GF36" s="34" t="e">
        <f>AND(#REF!,"AAAAAH9d37s=")</f>
        <v>#REF!</v>
      </c>
      <c r="GG36" s="34" t="e">
        <f>AND(#REF!,"AAAAAH9d37w=")</f>
        <v>#REF!</v>
      </c>
      <c r="GH36" s="34" t="e">
        <f>AND(#REF!,"AAAAAH9d370=")</f>
        <v>#REF!</v>
      </c>
      <c r="GI36" s="34" t="e">
        <f>IF(#REF!,"AAAAAH9d374=",0)</f>
        <v>#REF!</v>
      </c>
      <c r="GJ36" s="34" t="e">
        <f>AND(#REF!,"AAAAAH9d378=")</f>
        <v>#REF!</v>
      </c>
      <c r="GK36" s="34" t="e">
        <f>AND(#REF!,"AAAAAH9d38A=")</f>
        <v>#REF!</v>
      </c>
      <c r="GL36" s="34" t="e">
        <f>AND(#REF!,"AAAAAH9d38E=")</f>
        <v>#REF!</v>
      </c>
      <c r="GM36" s="34" t="e">
        <f>AND(#REF!,"AAAAAH9d38I=")</f>
        <v>#REF!</v>
      </c>
      <c r="GN36" s="34" t="e">
        <f>AND(#REF!,"AAAAAH9d38M=")</f>
        <v>#REF!</v>
      </c>
      <c r="GO36" s="34" t="e">
        <f>AND(#REF!,"AAAAAH9d38Q=")</f>
        <v>#REF!</v>
      </c>
      <c r="GP36" s="34" t="e">
        <f>AND(#REF!,"AAAAAH9d38U=")</f>
        <v>#REF!</v>
      </c>
      <c r="GQ36" s="34" t="e">
        <f>AND(#REF!,"AAAAAH9d38Y=")</f>
        <v>#REF!</v>
      </c>
      <c r="GR36" s="34" t="e">
        <f>AND(#REF!,"AAAAAH9d38c=")</f>
        <v>#REF!</v>
      </c>
      <c r="GS36" s="34" t="e">
        <f>AND(#REF!,"AAAAAH9d38g=")</f>
        <v>#REF!</v>
      </c>
      <c r="GT36" s="34" t="e">
        <f>AND(#REF!,"AAAAAH9d38k=")</f>
        <v>#REF!</v>
      </c>
      <c r="GU36" s="34" t="e">
        <f>AND(#REF!,"AAAAAH9d38o=")</f>
        <v>#REF!</v>
      </c>
      <c r="GV36" s="34" t="e">
        <f>AND(#REF!,"AAAAAH9d38s=")</f>
        <v>#REF!</v>
      </c>
      <c r="GW36" s="34" t="e">
        <f>AND(#REF!,"AAAAAH9d38w=")</f>
        <v>#REF!</v>
      </c>
      <c r="GX36" s="34" t="e">
        <f>AND(#REF!,"AAAAAH9d380=")</f>
        <v>#REF!</v>
      </c>
      <c r="GY36" s="34" t="e">
        <f>AND(#REF!,"AAAAAH9d384=")</f>
        <v>#REF!</v>
      </c>
      <c r="GZ36" s="34" t="e">
        <f>AND(#REF!,"AAAAAH9d388=")</f>
        <v>#REF!</v>
      </c>
      <c r="HA36" s="34" t="e">
        <f>AND(#REF!,"AAAAAH9d39A=")</f>
        <v>#REF!</v>
      </c>
      <c r="HB36" s="34" t="e">
        <f>AND(#REF!,"AAAAAH9d39E=")</f>
        <v>#REF!</v>
      </c>
      <c r="HC36" s="34" t="e">
        <f>AND(#REF!,"AAAAAH9d39I=")</f>
        <v>#REF!</v>
      </c>
      <c r="HD36" s="34" t="e">
        <f>AND(#REF!,"AAAAAH9d39M=")</f>
        <v>#REF!</v>
      </c>
      <c r="HE36" s="34" t="e">
        <f>AND(#REF!,"AAAAAH9d39Q=")</f>
        <v>#REF!</v>
      </c>
      <c r="HF36" s="34" t="e">
        <f>AND(#REF!,"AAAAAH9d39U=")</f>
        <v>#REF!</v>
      </c>
      <c r="HG36" s="34" t="e">
        <f>AND(#REF!,"AAAAAH9d39Y=")</f>
        <v>#REF!</v>
      </c>
      <c r="HH36" s="34" t="e">
        <f>AND(#REF!,"AAAAAH9d39c=")</f>
        <v>#REF!</v>
      </c>
      <c r="HI36" s="34" t="e">
        <f>AND(#REF!,"AAAAAH9d39g=")</f>
        <v>#REF!</v>
      </c>
      <c r="HJ36" s="34" t="e">
        <f>AND(#REF!,"AAAAAH9d39k=")</f>
        <v>#REF!</v>
      </c>
      <c r="HK36" s="34" t="e">
        <f>AND(#REF!,"AAAAAH9d39o=")</f>
        <v>#REF!</v>
      </c>
      <c r="HL36" s="34" t="e">
        <f>AND(#REF!,"AAAAAH9d39s=")</f>
        <v>#REF!</v>
      </c>
      <c r="HM36" s="34" t="e">
        <f>AND(#REF!,"AAAAAH9d39w=")</f>
        <v>#REF!</v>
      </c>
      <c r="HN36" s="34" t="e">
        <f>AND(#REF!,"AAAAAH9d390=")</f>
        <v>#REF!</v>
      </c>
      <c r="HO36" s="34" t="e">
        <f>AND(#REF!,"AAAAAH9d394=")</f>
        <v>#REF!</v>
      </c>
      <c r="HP36" s="34" t="e">
        <f>AND(#REF!,"AAAAAH9d398=")</f>
        <v>#REF!</v>
      </c>
      <c r="HQ36" s="34" t="e">
        <f>AND(#REF!,"AAAAAH9d3+A=")</f>
        <v>#REF!</v>
      </c>
      <c r="HR36" s="34" t="e">
        <f>AND(#REF!,"AAAAAH9d3+E=")</f>
        <v>#REF!</v>
      </c>
      <c r="HS36" s="34" t="e">
        <f>AND(#REF!,"AAAAAH9d3+I=")</f>
        <v>#REF!</v>
      </c>
      <c r="HT36" s="34" t="e">
        <f>AND(#REF!,"AAAAAH9d3+M=")</f>
        <v>#REF!</v>
      </c>
      <c r="HU36" s="34" t="e">
        <f>AND(#REF!,"AAAAAH9d3+Q=")</f>
        <v>#REF!</v>
      </c>
      <c r="HV36" s="34" t="e">
        <f>AND(#REF!,"AAAAAH9d3+U=")</f>
        <v>#REF!</v>
      </c>
      <c r="HW36" s="34" t="e">
        <f>AND(#REF!,"AAAAAH9d3+Y=")</f>
        <v>#REF!</v>
      </c>
      <c r="HX36" s="34" t="e">
        <f>AND(#REF!,"AAAAAH9d3+c=")</f>
        <v>#REF!</v>
      </c>
      <c r="HY36" s="34" t="e">
        <f>AND(#REF!,"AAAAAH9d3+g=")</f>
        <v>#REF!</v>
      </c>
      <c r="HZ36" s="34" t="e">
        <f>AND(#REF!,"AAAAAH9d3+k=")</f>
        <v>#REF!</v>
      </c>
      <c r="IA36" s="34" t="e">
        <f>AND(#REF!,"AAAAAH9d3+o=")</f>
        <v>#REF!</v>
      </c>
      <c r="IB36" s="34" t="e">
        <f>AND(#REF!,"AAAAAH9d3+s=")</f>
        <v>#REF!</v>
      </c>
      <c r="IC36" s="34" t="e">
        <f>AND(#REF!,"AAAAAH9d3+w=")</f>
        <v>#REF!</v>
      </c>
      <c r="ID36" s="34" t="e">
        <f>AND(#REF!,"AAAAAH9d3+0=")</f>
        <v>#REF!</v>
      </c>
      <c r="IE36" s="34" t="e">
        <f>AND(#REF!,"AAAAAH9d3+4=")</f>
        <v>#REF!</v>
      </c>
      <c r="IF36" s="34" t="e">
        <f>AND(#REF!,"AAAAAH9d3+8=")</f>
        <v>#REF!</v>
      </c>
      <c r="IG36" s="34" t="e">
        <f>AND(#REF!,"AAAAAH9d3/A=")</f>
        <v>#REF!</v>
      </c>
      <c r="IH36" s="34" t="e">
        <f>AND(#REF!,"AAAAAH9d3/E=")</f>
        <v>#REF!</v>
      </c>
      <c r="II36" s="34" t="e">
        <f>AND(#REF!,"AAAAAH9d3/I=")</f>
        <v>#REF!</v>
      </c>
      <c r="IJ36" s="34" t="e">
        <f>AND(#REF!,"AAAAAH9d3/M=")</f>
        <v>#REF!</v>
      </c>
      <c r="IK36" s="34" t="e">
        <f>AND(#REF!,"AAAAAH9d3/Q=")</f>
        <v>#REF!</v>
      </c>
      <c r="IL36" s="34" t="e">
        <f>AND(#REF!,"AAAAAH9d3/U=")</f>
        <v>#REF!</v>
      </c>
      <c r="IM36" s="34" t="e">
        <f>AND(#REF!,"AAAAAH9d3/Y=")</f>
        <v>#REF!</v>
      </c>
      <c r="IN36" s="34" t="e">
        <f>AND(#REF!,"AAAAAH9d3/c=")</f>
        <v>#REF!</v>
      </c>
      <c r="IO36" s="34" t="e">
        <f>AND(#REF!,"AAAAAH9d3/g=")</f>
        <v>#REF!</v>
      </c>
      <c r="IP36" s="34" t="e">
        <f>AND(#REF!,"AAAAAH9d3/k=")</f>
        <v>#REF!</v>
      </c>
      <c r="IQ36" s="34" t="e">
        <f>AND(#REF!,"AAAAAH9d3/o=")</f>
        <v>#REF!</v>
      </c>
      <c r="IR36" s="34" t="e">
        <f>AND(#REF!,"AAAAAH9d3/s=")</f>
        <v>#REF!</v>
      </c>
      <c r="IS36" s="34" t="e">
        <f>AND(#REF!,"AAAAAH9d3/w=")</f>
        <v>#REF!</v>
      </c>
      <c r="IT36" s="34" t="e">
        <f>AND(#REF!,"AAAAAH9d3/0=")</f>
        <v>#REF!</v>
      </c>
      <c r="IU36" s="34" t="e">
        <f>AND(#REF!,"AAAAAH9d3/4=")</f>
        <v>#REF!</v>
      </c>
      <c r="IV36" s="34" t="e">
        <f>AND(#REF!,"AAAAAH9d3/8=")</f>
        <v>#REF!</v>
      </c>
    </row>
    <row r="37" spans="1:256" ht="12.75" customHeight="1" x14ac:dyDescent="0.2">
      <c r="A37" s="34" t="e">
        <f>AND(#REF!,"AAAAAHf+/wA=")</f>
        <v>#REF!</v>
      </c>
      <c r="B37" s="34" t="e">
        <f>AND(#REF!,"AAAAAHf+/wE=")</f>
        <v>#REF!</v>
      </c>
      <c r="C37" s="34" t="e">
        <f>AND(#REF!,"AAAAAHf+/wI=")</f>
        <v>#REF!</v>
      </c>
      <c r="D37" s="34" t="e">
        <f>AND(#REF!,"AAAAAHf+/wM=")</f>
        <v>#REF!</v>
      </c>
      <c r="E37" s="34" t="e">
        <f>AND(#REF!,"AAAAAHf+/wQ=")</f>
        <v>#REF!</v>
      </c>
      <c r="F37" s="34" t="e">
        <f>AND(#REF!,"AAAAAHf+/wU=")</f>
        <v>#REF!</v>
      </c>
      <c r="G37" s="34" t="e">
        <f>AND(#REF!,"AAAAAHf+/wY=")</f>
        <v>#REF!</v>
      </c>
      <c r="H37" s="34" t="e">
        <f>IF(#REF!,"AAAAAHf+/wc=",0)</f>
        <v>#REF!</v>
      </c>
      <c r="I37" s="34" t="e">
        <f>AND(#REF!,"AAAAAHf+/wg=")</f>
        <v>#REF!</v>
      </c>
      <c r="J37" s="34" t="e">
        <f>AND(#REF!,"AAAAAHf+/wk=")</f>
        <v>#REF!</v>
      </c>
      <c r="K37" s="34" t="e">
        <f>AND(#REF!,"AAAAAHf+/wo=")</f>
        <v>#REF!</v>
      </c>
      <c r="L37" s="34" t="e">
        <f>AND(#REF!,"AAAAAHf+/ws=")</f>
        <v>#REF!</v>
      </c>
      <c r="M37" s="34" t="e">
        <f>AND(#REF!,"AAAAAHf+/ww=")</f>
        <v>#REF!</v>
      </c>
      <c r="N37" s="34" t="e">
        <f>AND(#REF!,"AAAAAHf+/w0=")</f>
        <v>#REF!</v>
      </c>
      <c r="O37" s="34" t="e">
        <f>AND(#REF!,"AAAAAHf+/w4=")</f>
        <v>#REF!</v>
      </c>
      <c r="P37" s="34" t="e">
        <f>AND(#REF!,"AAAAAHf+/w8=")</f>
        <v>#REF!</v>
      </c>
      <c r="Q37" s="34" t="e">
        <f>AND(#REF!,"AAAAAHf+/xA=")</f>
        <v>#REF!</v>
      </c>
      <c r="R37" s="34" t="e">
        <f>AND(#REF!,"AAAAAHf+/xE=")</f>
        <v>#REF!</v>
      </c>
      <c r="S37" s="34" t="e">
        <f>AND(#REF!,"AAAAAHf+/xI=")</f>
        <v>#REF!</v>
      </c>
      <c r="T37" s="34" t="e">
        <f>AND(#REF!,"AAAAAHf+/xM=")</f>
        <v>#REF!</v>
      </c>
      <c r="U37" s="34" t="e">
        <f>AND(#REF!,"AAAAAHf+/xQ=")</f>
        <v>#REF!</v>
      </c>
      <c r="V37" s="34" t="e">
        <f>AND(#REF!,"AAAAAHf+/xU=")</f>
        <v>#REF!</v>
      </c>
      <c r="W37" s="34" t="e">
        <f>AND(#REF!,"AAAAAHf+/xY=")</f>
        <v>#REF!</v>
      </c>
      <c r="X37" s="34" t="e">
        <f>AND(#REF!,"AAAAAHf+/xc=")</f>
        <v>#REF!</v>
      </c>
      <c r="Y37" s="34" t="e">
        <f>AND(#REF!,"AAAAAHf+/xg=")</f>
        <v>#REF!</v>
      </c>
      <c r="Z37" s="34" t="e">
        <f>AND(#REF!,"AAAAAHf+/xk=")</f>
        <v>#REF!</v>
      </c>
      <c r="AA37" s="34" t="e">
        <f>AND(#REF!,"AAAAAHf+/xo=")</f>
        <v>#REF!</v>
      </c>
      <c r="AB37" s="34" t="e">
        <f>AND(#REF!,"AAAAAHf+/xs=")</f>
        <v>#REF!</v>
      </c>
      <c r="AC37" s="34" t="e">
        <f>AND(#REF!,"AAAAAHf+/xw=")</f>
        <v>#REF!</v>
      </c>
      <c r="AD37" s="34" t="e">
        <f>AND(#REF!,"AAAAAHf+/x0=")</f>
        <v>#REF!</v>
      </c>
      <c r="AE37" s="34" t="e">
        <f>AND(#REF!,"AAAAAHf+/x4=")</f>
        <v>#REF!</v>
      </c>
      <c r="AF37" s="34" t="e">
        <f>AND(#REF!,"AAAAAHf+/x8=")</f>
        <v>#REF!</v>
      </c>
      <c r="AG37" s="34" t="e">
        <f>AND(#REF!,"AAAAAHf+/yA=")</f>
        <v>#REF!</v>
      </c>
      <c r="AH37" s="34" t="e">
        <f>AND(#REF!,"AAAAAHf+/yE=")</f>
        <v>#REF!</v>
      </c>
      <c r="AI37" s="34" t="e">
        <f>AND(#REF!,"AAAAAHf+/yI=")</f>
        <v>#REF!</v>
      </c>
      <c r="AJ37" s="34" t="e">
        <f>AND(#REF!,"AAAAAHf+/yM=")</f>
        <v>#REF!</v>
      </c>
      <c r="AK37" s="34" t="e">
        <f>AND(#REF!,"AAAAAHf+/yQ=")</f>
        <v>#REF!</v>
      </c>
      <c r="AL37" s="34" t="e">
        <f>AND(#REF!,"AAAAAHf+/yU=")</f>
        <v>#REF!</v>
      </c>
      <c r="AM37" s="34" t="e">
        <f>AND(#REF!,"AAAAAHf+/yY=")</f>
        <v>#REF!</v>
      </c>
      <c r="AN37" s="34" t="e">
        <f>AND(#REF!,"AAAAAHf+/yc=")</f>
        <v>#REF!</v>
      </c>
      <c r="AO37" s="34" t="e">
        <f>AND(#REF!,"AAAAAHf+/yg=")</f>
        <v>#REF!</v>
      </c>
      <c r="AP37" s="34" t="e">
        <f>AND(#REF!,"AAAAAHf+/yk=")</f>
        <v>#REF!</v>
      </c>
      <c r="AQ37" s="34" t="e">
        <f>AND(#REF!,"AAAAAHf+/yo=")</f>
        <v>#REF!</v>
      </c>
      <c r="AR37" s="34" t="e">
        <f>AND(#REF!,"AAAAAHf+/ys=")</f>
        <v>#REF!</v>
      </c>
      <c r="AS37" s="34" t="e">
        <f>AND(#REF!,"AAAAAHf+/yw=")</f>
        <v>#REF!</v>
      </c>
      <c r="AT37" s="34" t="e">
        <f>AND(#REF!,"AAAAAHf+/y0=")</f>
        <v>#REF!</v>
      </c>
      <c r="AU37" s="34" t="e">
        <f>AND(#REF!,"AAAAAHf+/y4=")</f>
        <v>#REF!</v>
      </c>
      <c r="AV37" s="34" t="e">
        <f>AND(#REF!,"AAAAAHf+/y8=")</f>
        <v>#REF!</v>
      </c>
      <c r="AW37" s="34" t="e">
        <f>AND(#REF!,"AAAAAHf+/zA=")</f>
        <v>#REF!</v>
      </c>
      <c r="AX37" s="34" t="e">
        <f>AND(#REF!,"AAAAAHf+/zE=")</f>
        <v>#REF!</v>
      </c>
      <c r="AY37" s="34" t="e">
        <f>AND(#REF!,"AAAAAHf+/zI=")</f>
        <v>#REF!</v>
      </c>
      <c r="AZ37" s="34" t="e">
        <f>AND(#REF!,"AAAAAHf+/zM=")</f>
        <v>#REF!</v>
      </c>
      <c r="BA37" s="34" t="e">
        <f>AND(#REF!,"AAAAAHf+/zQ=")</f>
        <v>#REF!</v>
      </c>
      <c r="BB37" s="34" t="e">
        <f>AND(#REF!,"AAAAAHf+/zU=")</f>
        <v>#REF!</v>
      </c>
      <c r="BC37" s="34" t="e">
        <f>AND(#REF!,"AAAAAHf+/zY=")</f>
        <v>#REF!</v>
      </c>
      <c r="BD37" s="34" t="e">
        <f>AND(#REF!,"AAAAAHf+/zc=")</f>
        <v>#REF!</v>
      </c>
      <c r="BE37" s="34" t="e">
        <f>AND(#REF!,"AAAAAHf+/zg=")</f>
        <v>#REF!</v>
      </c>
      <c r="BF37" s="34" t="e">
        <f>AND(#REF!,"AAAAAHf+/zk=")</f>
        <v>#REF!</v>
      </c>
      <c r="BG37" s="34" t="e">
        <f>AND(#REF!,"AAAAAHf+/zo=")</f>
        <v>#REF!</v>
      </c>
      <c r="BH37" s="34" t="e">
        <f>AND(#REF!,"AAAAAHf+/zs=")</f>
        <v>#REF!</v>
      </c>
      <c r="BI37" s="34" t="e">
        <f>AND(#REF!,"AAAAAHf+/zw=")</f>
        <v>#REF!</v>
      </c>
      <c r="BJ37" s="34" t="e">
        <f>AND(#REF!,"AAAAAHf+/z0=")</f>
        <v>#REF!</v>
      </c>
      <c r="BK37" s="34" t="e">
        <f>AND(#REF!,"AAAAAHf+/z4=")</f>
        <v>#REF!</v>
      </c>
      <c r="BL37" s="34" t="e">
        <f>AND(#REF!,"AAAAAHf+/z8=")</f>
        <v>#REF!</v>
      </c>
      <c r="BM37" s="34" t="e">
        <f>AND(#REF!,"AAAAAHf+/0A=")</f>
        <v>#REF!</v>
      </c>
      <c r="BN37" s="34" t="e">
        <f>AND(#REF!,"AAAAAHf+/0E=")</f>
        <v>#REF!</v>
      </c>
      <c r="BO37" s="34" t="e">
        <f>AND(#REF!,"AAAAAHf+/0I=")</f>
        <v>#REF!</v>
      </c>
      <c r="BP37" s="34" t="e">
        <f>AND(#REF!,"AAAAAHf+/0M=")</f>
        <v>#REF!</v>
      </c>
      <c r="BQ37" s="34" t="e">
        <f>AND(#REF!,"AAAAAHf+/0Q=")</f>
        <v>#REF!</v>
      </c>
      <c r="BR37" s="34" t="e">
        <f>AND(#REF!,"AAAAAHf+/0U=")</f>
        <v>#REF!</v>
      </c>
      <c r="BS37" s="34" t="e">
        <f>AND(#REF!,"AAAAAHf+/0Y=")</f>
        <v>#REF!</v>
      </c>
      <c r="BT37" s="34" t="e">
        <f>AND(#REF!,"AAAAAHf+/0c=")</f>
        <v>#REF!</v>
      </c>
      <c r="BU37" s="34" t="e">
        <f>AND(#REF!,"AAAAAHf+/0g=")</f>
        <v>#REF!</v>
      </c>
      <c r="BV37" s="34" t="e">
        <f>AND(#REF!,"AAAAAHf+/0k=")</f>
        <v>#REF!</v>
      </c>
      <c r="BW37" s="34" t="e">
        <f>AND(#REF!,"AAAAAHf+/0o=")</f>
        <v>#REF!</v>
      </c>
      <c r="BX37" s="34" t="e">
        <f>AND(#REF!,"AAAAAHf+/0s=")</f>
        <v>#REF!</v>
      </c>
      <c r="BY37" s="34" t="e">
        <f>AND(#REF!,"AAAAAHf+/0w=")</f>
        <v>#REF!</v>
      </c>
      <c r="BZ37" s="34" t="e">
        <f>AND(#REF!,"AAAAAHf+/00=")</f>
        <v>#REF!</v>
      </c>
      <c r="CA37" s="34" t="e">
        <f>AND(#REF!,"AAAAAHf+/04=")</f>
        <v>#REF!</v>
      </c>
      <c r="CB37" s="34" t="e">
        <f>AND(#REF!,"AAAAAHf+/08=")</f>
        <v>#REF!</v>
      </c>
      <c r="CC37" s="34" t="e">
        <f>IF(#REF!,"AAAAAHf+/1A=",0)</f>
        <v>#REF!</v>
      </c>
      <c r="CD37" s="34" t="e">
        <f>AND(#REF!,"AAAAAHf+/1E=")</f>
        <v>#REF!</v>
      </c>
      <c r="CE37" s="34" t="e">
        <f>AND(#REF!,"AAAAAHf+/1I=")</f>
        <v>#REF!</v>
      </c>
      <c r="CF37" s="34" t="e">
        <f>AND(#REF!,"AAAAAHf+/1M=")</f>
        <v>#REF!</v>
      </c>
      <c r="CG37" s="34" t="e">
        <f>AND(#REF!,"AAAAAHf+/1Q=")</f>
        <v>#REF!</v>
      </c>
      <c r="CH37" s="34" t="e">
        <f>AND(#REF!,"AAAAAHf+/1U=")</f>
        <v>#REF!</v>
      </c>
      <c r="CI37" s="34" t="e">
        <f>AND(#REF!,"AAAAAHf+/1Y=")</f>
        <v>#REF!</v>
      </c>
      <c r="CJ37" s="34" t="e">
        <f>AND(#REF!,"AAAAAHf+/1c=")</f>
        <v>#REF!</v>
      </c>
      <c r="CK37" s="34" t="e">
        <f>AND(#REF!,"AAAAAHf+/1g=")</f>
        <v>#REF!</v>
      </c>
      <c r="CL37" s="34" t="e">
        <f>AND(#REF!,"AAAAAHf+/1k=")</f>
        <v>#REF!</v>
      </c>
      <c r="CM37" s="34" t="e">
        <f>AND(#REF!,"AAAAAHf+/1o=")</f>
        <v>#REF!</v>
      </c>
      <c r="CN37" s="34" t="e">
        <f>AND(#REF!,"AAAAAHf+/1s=")</f>
        <v>#REF!</v>
      </c>
      <c r="CO37" s="34" t="e">
        <f>AND(#REF!,"AAAAAHf+/1w=")</f>
        <v>#REF!</v>
      </c>
      <c r="CP37" s="34" t="e">
        <f>AND(#REF!,"AAAAAHf+/10=")</f>
        <v>#REF!</v>
      </c>
      <c r="CQ37" s="34" t="e">
        <f>AND(#REF!,"AAAAAHf+/14=")</f>
        <v>#REF!</v>
      </c>
      <c r="CR37" s="34" t="e">
        <f>AND(#REF!,"AAAAAHf+/18=")</f>
        <v>#REF!</v>
      </c>
      <c r="CS37" s="34" t="e">
        <f>AND(#REF!,"AAAAAHf+/2A=")</f>
        <v>#REF!</v>
      </c>
      <c r="CT37" s="34" t="e">
        <f>AND(#REF!,"AAAAAHf+/2E=")</f>
        <v>#REF!</v>
      </c>
      <c r="CU37" s="34" t="e">
        <f>AND(#REF!,"AAAAAHf+/2I=")</f>
        <v>#REF!</v>
      </c>
      <c r="CV37" s="34" t="e">
        <f>AND(#REF!,"AAAAAHf+/2M=")</f>
        <v>#REF!</v>
      </c>
      <c r="CW37" s="34" t="e">
        <f>AND(#REF!,"AAAAAHf+/2Q=")</f>
        <v>#REF!</v>
      </c>
      <c r="CX37" s="34" t="e">
        <f>AND(#REF!,"AAAAAHf+/2U=")</f>
        <v>#REF!</v>
      </c>
      <c r="CY37" s="34" t="e">
        <f>AND(#REF!,"AAAAAHf+/2Y=")</f>
        <v>#REF!</v>
      </c>
      <c r="CZ37" s="34" t="e">
        <f>AND(#REF!,"AAAAAHf+/2c=")</f>
        <v>#REF!</v>
      </c>
      <c r="DA37" s="34" t="e">
        <f>AND(#REF!,"AAAAAHf+/2g=")</f>
        <v>#REF!</v>
      </c>
      <c r="DB37" s="34" t="e">
        <f>AND(#REF!,"AAAAAHf+/2k=")</f>
        <v>#REF!</v>
      </c>
      <c r="DC37" s="34" t="e">
        <f>AND(#REF!,"AAAAAHf+/2o=")</f>
        <v>#REF!</v>
      </c>
      <c r="DD37" s="34" t="e">
        <f>AND(#REF!,"AAAAAHf+/2s=")</f>
        <v>#REF!</v>
      </c>
      <c r="DE37" s="34" t="e">
        <f>AND(#REF!,"AAAAAHf+/2w=")</f>
        <v>#REF!</v>
      </c>
      <c r="DF37" s="34" t="e">
        <f>AND(#REF!,"AAAAAHf+/20=")</f>
        <v>#REF!</v>
      </c>
      <c r="DG37" s="34" t="e">
        <f>AND(#REF!,"AAAAAHf+/24=")</f>
        <v>#REF!</v>
      </c>
      <c r="DH37" s="34" t="e">
        <f>AND(#REF!,"AAAAAHf+/28=")</f>
        <v>#REF!</v>
      </c>
      <c r="DI37" s="34" t="e">
        <f>AND(#REF!,"AAAAAHf+/3A=")</f>
        <v>#REF!</v>
      </c>
      <c r="DJ37" s="34" t="e">
        <f>AND(#REF!,"AAAAAHf+/3E=")</f>
        <v>#REF!</v>
      </c>
      <c r="DK37" s="34" t="e">
        <f>AND(#REF!,"AAAAAHf+/3I=")</f>
        <v>#REF!</v>
      </c>
      <c r="DL37" s="34" t="e">
        <f>AND(#REF!,"AAAAAHf+/3M=")</f>
        <v>#REF!</v>
      </c>
      <c r="DM37" s="34" t="e">
        <f>AND(#REF!,"AAAAAHf+/3Q=")</f>
        <v>#REF!</v>
      </c>
      <c r="DN37" s="34" t="e">
        <f>AND(#REF!,"AAAAAHf+/3U=")</f>
        <v>#REF!</v>
      </c>
      <c r="DO37" s="34" t="e">
        <f>AND(#REF!,"AAAAAHf+/3Y=")</f>
        <v>#REF!</v>
      </c>
      <c r="DP37" s="34" t="e">
        <f>AND(#REF!,"AAAAAHf+/3c=")</f>
        <v>#REF!</v>
      </c>
      <c r="DQ37" s="34" t="e">
        <f>AND(#REF!,"AAAAAHf+/3g=")</f>
        <v>#REF!</v>
      </c>
      <c r="DR37" s="34" t="e">
        <f>AND(#REF!,"AAAAAHf+/3k=")</f>
        <v>#REF!</v>
      </c>
      <c r="DS37" s="34" t="e">
        <f>AND(#REF!,"AAAAAHf+/3o=")</f>
        <v>#REF!</v>
      </c>
      <c r="DT37" s="34" t="e">
        <f>AND(#REF!,"AAAAAHf+/3s=")</f>
        <v>#REF!</v>
      </c>
      <c r="DU37" s="34" t="e">
        <f>AND(#REF!,"AAAAAHf+/3w=")</f>
        <v>#REF!</v>
      </c>
      <c r="DV37" s="34" t="e">
        <f>AND(#REF!,"AAAAAHf+/30=")</f>
        <v>#REF!</v>
      </c>
      <c r="DW37" s="34" t="e">
        <f>AND(#REF!,"AAAAAHf+/34=")</f>
        <v>#REF!</v>
      </c>
      <c r="DX37" s="34" t="e">
        <f>AND(#REF!,"AAAAAHf+/38=")</f>
        <v>#REF!</v>
      </c>
      <c r="DY37" s="34" t="e">
        <f>AND(#REF!,"AAAAAHf+/4A=")</f>
        <v>#REF!</v>
      </c>
      <c r="DZ37" s="34" t="e">
        <f>AND(#REF!,"AAAAAHf+/4E=")</f>
        <v>#REF!</v>
      </c>
      <c r="EA37" s="34" t="e">
        <f>AND(#REF!,"AAAAAHf+/4I=")</f>
        <v>#REF!</v>
      </c>
      <c r="EB37" s="34" t="e">
        <f>AND(#REF!,"AAAAAHf+/4M=")</f>
        <v>#REF!</v>
      </c>
      <c r="EC37" s="34" t="e">
        <f>AND(#REF!,"AAAAAHf+/4Q=")</f>
        <v>#REF!</v>
      </c>
      <c r="ED37" s="34" t="e">
        <f>AND(#REF!,"AAAAAHf+/4U=")</f>
        <v>#REF!</v>
      </c>
      <c r="EE37" s="34" t="e">
        <f>AND(#REF!,"AAAAAHf+/4Y=")</f>
        <v>#REF!</v>
      </c>
      <c r="EF37" s="34" t="e">
        <f>AND(#REF!,"AAAAAHf+/4c=")</f>
        <v>#REF!</v>
      </c>
      <c r="EG37" s="34" t="e">
        <f>AND(#REF!,"AAAAAHf+/4g=")</f>
        <v>#REF!</v>
      </c>
      <c r="EH37" s="34" t="e">
        <f>AND(#REF!,"AAAAAHf+/4k=")</f>
        <v>#REF!</v>
      </c>
      <c r="EI37" s="34" t="e">
        <f>AND(#REF!,"AAAAAHf+/4o=")</f>
        <v>#REF!</v>
      </c>
      <c r="EJ37" s="34" t="e">
        <f>AND(#REF!,"AAAAAHf+/4s=")</f>
        <v>#REF!</v>
      </c>
      <c r="EK37" s="34" t="e">
        <f>AND(#REF!,"AAAAAHf+/4w=")</f>
        <v>#REF!</v>
      </c>
      <c r="EL37" s="34" t="e">
        <f>AND(#REF!,"AAAAAHf+/40=")</f>
        <v>#REF!</v>
      </c>
      <c r="EM37" s="34" t="e">
        <f>AND(#REF!,"AAAAAHf+/44=")</f>
        <v>#REF!</v>
      </c>
      <c r="EN37" s="34" t="e">
        <f>AND(#REF!,"AAAAAHf+/48=")</f>
        <v>#REF!</v>
      </c>
      <c r="EO37" s="34" t="e">
        <f>AND(#REF!,"AAAAAHf+/5A=")</f>
        <v>#REF!</v>
      </c>
      <c r="EP37" s="34" t="e">
        <f>AND(#REF!,"AAAAAHf+/5E=")</f>
        <v>#REF!</v>
      </c>
      <c r="EQ37" s="34" t="e">
        <f>AND(#REF!,"AAAAAHf+/5I=")</f>
        <v>#REF!</v>
      </c>
      <c r="ER37" s="34" t="e">
        <f>AND(#REF!,"AAAAAHf+/5M=")</f>
        <v>#REF!</v>
      </c>
      <c r="ES37" s="34" t="e">
        <f>AND(#REF!,"AAAAAHf+/5Q=")</f>
        <v>#REF!</v>
      </c>
      <c r="ET37" s="34" t="e">
        <f>AND(#REF!,"AAAAAHf+/5U=")</f>
        <v>#REF!</v>
      </c>
      <c r="EU37" s="34" t="e">
        <f>AND(#REF!,"AAAAAHf+/5Y=")</f>
        <v>#REF!</v>
      </c>
      <c r="EV37" s="34" t="e">
        <f>AND(#REF!,"AAAAAHf+/5c=")</f>
        <v>#REF!</v>
      </c>
      <c r="EW37" s="34" t="e">
        <f>AND(#REF!,"AAAAAHf+/5g=")</f>
        <v>#REF!</v>
      </c>
      <c r="EX37" s="34" t="e">
        <f>IF(#REF!,"AAAAAHf+/5k=",0)</f>
        <v>#REF!</v>
      </c>
      <c r="EY37" s="34" t="e">
        <f>AND(#REF!,"AAAAAHf+/5o=")</f>
        <v>#REF!</v>
      </c>
      <c r="EZ37" s="34" t="e">
        <f>AND(#REF!,"AAAAAHf+/5s=")</f>
        <v>#REF!</v>
      </c>
      <c r="FA37" s="34" t="e">
        <f>AND(#REF!,"AAAAAHf+/5w=")</f>
        <v>#REF!</v>
      </c>
      <c r="FB37" s="34" t="e">
        <f>AND(#REF!,"AAAAAHf+/50=")</f>
        <v>#REF!</v>
      </c>
      <c r="FC37" s="34" t="e">
        <f>AND(#REF!,"AAAAAHf+/54=")</f>
        <v>#REF!</v>
      </c>
      <c r="FD37" s="34" t="e">
        <f>AND(#REF!,"AAAAAHf+/58=")</f>
        <v>#REF!</v>
      </c>
      <c r="FE37" s="34" t="e">
        <f>AND(#REF!,"AAAAAHf+/6A=")</f>
        <v>#REF!</v>
      </c>
      <c r="FF37" s="34" t="e">
        <f>AND(#REF!,"AAAAAHf+/6E=")</f>
        <v>#REF!</v>
      </c>
      <c r="FG37" s="34" t="e">
        <f>AND(#REF!,"AAAAAHf+/6I=")</f>
        <v>#REF!</v>
      </c>
      <c r="FH37" s="34" t="e">
        <f>AND(#REF!,"AAAAAHf+/6M=")</f>
        <v>#REF!</v>
      </c>
      <c r="FI37" s="34" t="e">
        <f>AND(#REF!,"AAAAAHf+/6Q=")</f>
        <v>#REF!</v>
      </c>
      <c r="FJ37" s="34" t="e">
        <f>AND(#REF!,"AAAAAHf+/6U=")</f>
        <v>#REF!</v>
      </c>
      <c r="FK37" s="34" t="e">
        <f>AND(#REF!,"AAAAAHf+/6Y=")</f>
        <v>#REF!</v>
      </c>
      <c r="FL37" s="34" t="e">
        <f>AND(#REF!,"AAAAAHf+/6c=")</f>
        <v>#REF!</v>
      </c>
      <c r="FM37" s="34" t="e">
        <f>AND(#REF!,"AAAAAHf+/6g=")</f>
        <v>#REF!</v>
      </c>
      <c r="FN37" s="34" t="e">
        <f>AND(#REF!,"AAAAAHf+/6k=")</f>
        <v>#REF!</v>
      </c>
      <c r="FO37" s="34" t="e">
        <f>AND(#REF!,"AAAAAHf+/6o=")</f>
        <v>#REF!</v>
      </c>
      <c r="FP37" s="34" t="e">
        <f>AND(#REF!,"AAAAAHf+/6s=")</f>
        <v>#REF!</v>
      </c>
      <c r="FQ37" s="34" t="e">
        <f>AND(#REF!,"AAAAAHf+/6w=")</f>
        <v>#REF!</v>
      </c>
      <c r="FR37" s="34" t="e">
        <f>AND(#REF!,"AAAAAHf+/60=")</f>
        <v>#REF!</v>
      </c>
      <c r="FS37" s="34" t="e">
        <f>AND(#REF!,"AAAAAHf+/64=")</f>
        <v>#REF!</v>
      </c>
      <c r="FT37" s="34" t="e">
        <f>AND(#REF!,"AAAAAHf+/68=")</f>
        <v>#REF!</v>
      </c>
      <c r="FU37" s="34" t="e">
        <f>AND(#REF!,"AAAAAHf+/7A=")</f>
        <v>#REF!</v>
      </c>
      <c r="FV37" s="34" t="e">
        <f>AND(#REF!,"AAAAAHf+/7E=")</f>
        <v>#REF!</v>
      </c>
      <c r="FW37" s="34" t="e">
        <f>AND(#REF!,"AAAAAHf+/7I=")</f>
        <v>#REF!</v>
      </c>
      <c r="FX37" s="34" t="e">
        <f>AND(#REF!,"AAAAAHf+/7M=")</f>
        <v>#REF!</v>
      </c>
      <c r="FY37" s="34" t="e">
        <f>AND(#REF!,"AAAAAHf+/7Q=")</f>
        <v>#REF!</v>
      </c>
      <c r="FZ37" s="34" t="e">
        <f>AND(#REF!,"AAAAAHf+/7U=")</f>
        <v>#REF!</v>
      </c>
      <c r="GA37" s="34" t="e">
        <f>AND(#REF!,"AAAAAHf+/7Y=")</f>
        <v>#REF!</v>
      </c>
      <c r="GB37" s="34" t="e">
        <f>AND(#REF!,"AAAAAHf+/7c=")</f>
        <v>#REF!</v>
      </c>
      <c r="GC37" s="34" t="e">
        <f>AND(#REF!,"AAAAAHf+/7g=")</f>
        <v>#REF!</v>
      </c>
      <c r="GD37" s="34" t="e">
        <f>AND(#REF!,"AAAAAHf+/7k=")</f>
        <v>#REF!</v>
      </c>
      <c r="GE37" s="34" t="e">
        <f>AND(#REF!,"AAAAAHf+/7o=")</f>
        <v>#REF!</v>
      </c>
      <c r="GF37" s="34" t="e">
        <f>AND(#REF!,"AAAAAHf+/7s=")</f>
        <v>#REF!</v>
      </c>
      <c r="GG37" s="34" t="e">
        <f>AND(#REF!,"AAAAAHf+/7w=")</f>
        <v>#REF!</v>
      </c>
      <c r="GH37" s="34" t="e">
        <f>AND(#REF!,"AAAAAHf+/70=")</f>
        <v>#REF!</v>
      </c>
      <c r="GI37" s="34" t="e">
        <f>AND(#REF!,"AAAAAHf+/74=")</f>
        <v>#REF!</v>
      </c>
      <c r="GJ37" s="34" t="e">
        <f>AND(#REF!,"AAAAAHf+/78=")</f>
        <v>#REF!</v>
      </c>
      <c r="GK37" s="34" t="e">
        <f>AND(#REF!,"AAAAAHf+/8A=")</f>
        <v>#REF!</v>
      </c>
      <c r="GL37" s="34" t="e">
        <f>AND(#REF!,"AAAAAHf+/8E=")</f>
        <v>#REF!</v>
      </c>
      <c r="GM37" s="34" t="e">
        <f>AND(#REF!,"AAAAAHf+/8I=")</f>
        <v>#REF!</v>
      </c>
      <c r="GN37" s="34" t="e">
        <f>AND(#REF!,"AAAAAHf+/8M=")</f>
        <v>#REF!</v>
      </c>
      <c r="GO37" s="34" t="e">
        <f>AND(#REF!,"AAAAAHf+/8Q=")</f>
        <v>#REF!</v>
      </c>
      <c r="GP37" s="34" t="e">
        <f>AND(#REF!,"AAAAAHf+/8U=")</f>
        <v>#REF!</v>
      </c>
      <c r="GQ37" s="34" t="e">
        <f>AND(#REF!,"AAAAAHf+/8Y=")</f>
        <v>#REF!</v>
      </c>
      <c r="GR37" s="34" t="e">
        <f>AND(#REF!,"AAAAAHf+/8c=")</f>
        <v>#REF!</v>
      </c>
      <c r="GS37" s="34" t="e">
        <f>AND(#REF!,"AAAAAHf+/8g=")</f>
        <v>#REF!</v>
      </c>
      <c r="GT37" s="34" t="e">
        <f>AND(#REF!,"AAAAAHf+/8k=")</f>
        <v>#REF!</v>
      </c>
      <c r="GU37" s="34" t="e">
        <f>AND(#REF!,"AAAAAHf+/8o=")</f>
        <v>#REF!</v>
      </c>
      <c r="GV37" s="34" t="e">
        <f>AND(#REF!,"AAAAAHf+/8s=")</f>
        <v>#REF!</v>
      </c>
      <c r="GW37" s="34" t="e">
        <f>AND(#REF!,"AAAAAHf+/8w=")</f>
        <v>#REF!</v>
      </c>
      <c r="GX37" s="34" t="e">
        <f>AND(#REF!,"AAAAAHf+/80=")</f>
        <v>#REF!</v>
      </c>
      <c r="GY37" s="34" t="e">
        <f>AND(#REF!,"AAAAAHf+/84=")</f>
        <v>#REF!</v>
      </c>
      <c r="GZ37" s="34" t="e">
        <f>AND(#REF!,"AAAAAHf+/88=")</f>
        <v>#REF!</v>
      </c>
      <c r="HA37" s="34" t="e">
        <f>AND(#REF!,"AAAAAHf+/9A=")</f>
        <v>#REF!</v>
      </c>
      <c r="HB37" s="34" t="e">
        <f>AND(#REF!,"AAAAAHf+/9E=")</f>
        <v>#REF!</v>
      </c>
      <c r="HC37" s="34" t="e">
        <f>AND(#REF!,"AAAAAHf+/9I=")</f>
        <v>#REF!</v>
      </c>
      <c r="HD37" s="34" t="e">
        <f>AND(#REF!,"AAAAAHf+/9M=")</f>
        <v>#REF!</v>
      </c>
      <c r="HE37" s="34" t="e">
        <f>AND(#REF!,"AAAAAHf+/9Q=")</f>
        <v>#REF!</v>
      </c>
      <c r="HF37" s="34" t="e">
        <f>AND(#REF!,"AAAAAHf+/9U=")</f>
        <v>#REF!</v>
      </c>
      <c r="HG37" s="34" t="e">
        <f>AND(#REF!,"AAAAAHf+/9Y=")</f>
        <v>#REF!</v>
      </c>
      <c r="HH37" s="34" t="e">
        <f>AND(#REF!,"AAAAAHf+/9c=")</f>
        <v>#REF!</v>
      </c>
      <c r="HI37" s="34" t="e">
        <f>AND(#REF!,"AAAAAHf+/9g=")</f>
        <v>#REF!</v>
      </c>
      <c r="HJ37" s="34" t="e">
        <f>AND(#REF!,"AAAAAHf+/9k=")</f>
        <v>#REF!</v>
      </c>
      <c r="HK37" s="34" t="e">
        <f>AND(#REF!,"AAAAAHf+/9o=")</f>
        <v>#REF!</v>
      </c>
      <c r="HL37" s="34" t="e">
        <f>AND(#REF!,"AAAAAHf+/9s=")</f>
        <v>#REF!</v>
      </c>
      <c r="HM37" s="34" t="e">
        <f>AND(#REF!,"AAAAAHf+/9w=")</f>
        <v>#REF!</v>
      </c>
      <c r="HN37" s="34" t="e">
        <f>AND(#REF!,"AAAAAHf+/90=")</f>
        <v>#REF!</v>
      </c>
      <c r="HO37" s="34" t="e">
        <f>AND(#REF!,"AAAAAHf+/94=")</f>
        <v>#REF!</v>
      </c>
      <c r="HP37" s="34" t="e">
        <f>AND(#REF!,"AAAAAHf+/98=")</f>
        <v>#REF!</v>
      </c>
      <c r="HQ37" s="34" t="e">
        <f>AND(#REF!,"AAAAAHf+/+A=")</f>
        <v>#REF!</v>
      </c>
      <c r="HR37" s="34" t="e">
        <f>AND(#REF!,"AAAAAHf+/+E=")</f>
        <v>#REF!</v>
      </c>
      <c r="HS37" s="34" t="e">
        <f>IF(#REF!,"AAAAAHf+/+I=",0)</f>
        <v>#REF!</v>
      </c>
      <c r="HT37" s="34" t="e">
        <f>AND(#REF!,"AAAAAHf+/+M=")</f>
        <v>#REF!</v>
      </c>
      <c r="HU37" s="34" t="e">
        <f>AND(#REF!,"AAAAAHf+/+Q=")</f>
        <v>#REF!</v>
      </c>
      <c r="HV37" s="34" t="e">
        <f>AND(#REF!,"AAAAAHf+/+U=")</f>
        <v>#REF!</v>
      </c>
      <c r="HW37" s="34" t="e">
        <f>AND(#REF!,"AAAAAHf+/+Y=")</f>
        <v>#REF!</v>
      </c>
      <c r="HX37" s="34" t="e">
        <f>AND(#REF!,"AAAAAHf+/+c=")</f>
        <v>#REF!</v>
      </c>
      <c r="HY37" s="34" t="e">
        <f>AND(#REF!,"AAAAAHf+/+g=")</f>
        <v>#REF!</v>
      </c>
      <c r="HZ37" s="34" t="e">
        <f>AND(#REF!,"AAAAAHf+/+k=")</f>
        <v>#REF!</v>
      </c>
      <c r="IA37" s="34" t="e">
        <f>AND(#REF!,"AAAAAHf+/+o=")</f>
        <v>#REF!</v>
      </c>
      <c r="IB37" s="34" t="e">
        <f>AND(#REF!,"AAAAAHf+/+s=")</f>
        <v>#REF!</v>
      </c>
      <c r="IC37" s="34" t="e">
        <f>AND(#REF!,"AAAAAHf+/+w=")</f>
        <v>#REF!</v>
      </c>
      <c r="ID37" s="34" t="e">
        <f>AND(#REF!,"AAAAAHf+/+0=")</f>
        <v>#REF!</v>
      </c>
      <c r="IE37" s="34" t="e">
        <f>AND(#REF!,"AAAAAHf+/+4=")</f>
        <v>#REF!</v>
      </c>
      <c r="IF37" s="34" t="e">
        <f>AND(#REF!,"AAAAAHf+/+8=")</f>
        <v>#REF!</v>
      </c>
      <c r="IG37" s="34" t="e">
        <f>AND(#REF!,"AAAAAHf+//A=")</f>
        <v>#REF!</v>
      </c>
      <c r="IH37" s="34" t="e">
        <f>AND(#REF!,"AAAAAHf+//E=")</f>
        <v>#REF!</v>
      </c>
      <c r="II37" s="34" t="e">
        <f>AND(#REF!,"AAAAAHf+//I=")</f>
        <v>#REF!</v>
      </c>
      <c r="IJ37" s="34" t="e">
        <f>AND(#REF!,"AAAAAHf+//M=")</f>
        <v>#REF!</v>
      </c>
      <c r="IK37" s="34" t="e">
        <f>AND(#REF!,"AAAAAHf+//Q=")</f>
        <v>#REF!</v>
      </c>
      <c r="IL37" s="34" t="e">
        <f>AND(#REF!,"AAAAAHf+//U=")</f>
        <v>#REF!</v>
      </c>
      <c r="IM37" s="34" t="e">
        <f>AND(#REF!,"AAAAAHf+//Y=")</f>
        <v>#REF!</v>
      </c>
      <c r="IN37" s="34" t="e">
        <f>AND(#REF!,"AAAAAHf+//c=")</f>
        <v>#REF!</v>
      </c>
      <c r="IO37" s="34" t="e">
        <f>AND(#REF!,"AAAAAHf+//g=")</f>
        <v>#REF!</v>
      </c>
      <c r="IP37" s="34" t="e">
        <f>AND(#REF!,"AAAAAHf+//k=")</f>
        <v>#REF!</v>
      </c>
      <c r="IQ37" s="34" t="e">
        <f>AND(#REF!,"AAAAAHf+//o=")</f>
        <v>#REF!</v>
      </c>
      <c r="IR37" s="34" t="e">
        <f>AND(#REF!,"AAAAAHf+//s=")</f>
        <v>#REF!</v>
      </c>
      <c r="IS37" s="34" t="e">
        <f>AND(#REF!,"AAAAAHf+//w=")</f>
        <v>#REF!</v>
      </c>
      <c r="IT37" s="34" t="e">
        <f>AND(#REF!,"AAAAAHf+//0=")</f>
        <v>#REF!</v>
      </c>
      <c r="IU37" s="34" t="e">
        <f>AND(#REF!,"AAAAAHf+//4=")</f>
        <v>#REF!</v>
      </c>
      <c r="IV37" s="34" t="e">
        <f>AND(#REF!,"AAAAAHf+//8=")</f>
        <v>#REF!</v>
      </c>
    </row>
    <row r="38" spans="1:256" ht="12.75" customHeight="1" x14ac:dyDescent="0.2">
      <c r="A38" s="34" t="e">
        <f>AND(#REF!,"AAAAAB++9AA=")</f>
        <v>#REF!</v>
      </c>
      <c r="B38" s="34" t="e">
        <f>AND(#REF!,"AAAAAB++9AE=")</f>
        <v>#REF!</v>
      </c>
      <c r="C38" s="34" t="e">
        <f>AND(#REF!,"AAAAAB++9AI=")</f>
        <v>#REF!</v>
      </c>
      <c r="D38" s="34" t="e">
        <f>AND(#REF!,"AAAAAB++9AM=")</f>
        <v>#REF!</v>
      </c>
      <c r="E38" s="34" t="e">
        <f>AND(#REF!,"AAAAAB++9AQ=")</f>
        <v>#REF!</v>
      </c>
      <c r="F38" s="34" t="e">
        <f>AND(#REF!,"AAAAAB++9AU=")</f>
        <v>#REF!</v>
      </c>
      <c r="G38" s="34" t="e">
        <f>AND(#REF!,"AAAAAB++9AY=")</f>
        <v>#REF!</v>
      </c>
      <c r="H38" s="34" t="e">
        <f>AND(#REF!,"AAAAAB++9Ac=")</f>
        <v>#REF!</v>
      </c>
      <c r="I38" s="34" t="e">
        <f>AND(#REF!,"AAAAAB++9Ag=")</f>
        <v>#REF!</v>
      </c>
      <c r="J38" s="34" t="e">
        <f>AND(#REF!,"AAAAAB++9Ak=")</f>
        <v>#REF!</v>
      </c>
      <c r="K38" s="34" t="e">
        <f>AND(#REF!,"AAAAAB++9Ao=")</f>
        <v>#REF!</v>
      </c>
      <c r="L38" s="34" t="e">
        <f>AND(#REF!,"AAAAAB++9As=")</f>
        <v>#REF!</v>
      </c>
      <c r="M38" s="34" t="e">
        <f>AND(#REF!,"AAAAAB++9Aw=")</f>
        <v>#REF!</v>
      </c>
      <c r="N38" s="34" t="e">
        <f>AND(#REF!,"AAAAAB++9A0=")</f>
        <v>#REF!</v>
      </c>
      <c r="O38" s="34" t="e">
        <f>AND(#REF!,"AAAAAB++9A4=")</f>
        <v>#REF!</v>
      </c>
      <c r="P38" s="34" t="e">
        <f>AND(#REF!,"AAAAAB++9A8=")</f>
        <v>#REF!</v>
      </c>
      <c r="Q38" s="34" t="e">
        <f>AND(#REF!,"AAAAAB++9BA=")</f>
        <v>#REF!</v>
      </c>
      <c r="R38" s="34" t="e">
        <f>AND(#REF!,"AAAAAB++9BE=")</f>
        <v>#REF!</v>
      </c>
      <c r="S38" s="34" t="e">
        <f>AND(#REF!,"AAAAAB++9BI=")</f>
        <v>#REF!</v>
      </c>
      <c r="T38" s="34" t="e">
        <f>AND(#REF!,"AAAAAB++9BM=")</f>
        <v>#REF!</v>
      </c>
      <c r="U38" s="34" t="e">
        <f>AND(#REF!,"AAAAAB++9BQ=")</f>
        <v>#REF!</v>
      </c>
      <c r="V38" s="34" t="e">
        <f>AND(#REF!,"AAAAAB++9BU=")</f>
        <v>#REF!</v>
      </c>
      <c r="W38" s="34" t="e">
        <f>AND(#REF!,"AAAAAB++9BY=")</f>
        <v>#REF!</v>
      </c>
      <c r="X38" s="34" t="e">
        <f>AND(#REF!,"AAAAAB++9Bc=")</f>
        <v>#REF!</v>
      </c>
      <c r="Y38" s="34" t="e">
        <f>AND(#REF!,"AAAAAB++9Bg=")</f>
        <v>#REF!</v>
      </c>
      <c r="Z38" s="34" t="e">
        <f>AND(#REF!,"AAAAAB++9Bk=")</f>
        <v>#REF!</v>
      </c>
      <c r="AA38" s="34" t="e">
        <f>AND(#REF!,"AAAAAB++9Bo=")</f>
        <v>#REF!</v>
      </c>
      <c r="AB38" s="34" t="e">
        <f>AND(#REF!,"AAAAAB++9Bs=")</f>
        <v>#REF!</v>
      </c>
      <c r="AC38" s="34" t="e">
        <f>AND(#REF!,"AAAAAB++9Bw=")</f>
        <v>#REF!</v>
      </c>
      <c r="AD38" s="34" t="e">
        <f>AND(#REF!,"AAAAAB++9B0=")</f>
        <v>#REF!</v>
      </c>
      <c r="AE38" s="34" t="e">
        <f>AND(#REF!,"AAAAAB++9B4=")</f>
        <v>#REF!</v>
      </c>
      <c r="AF38" s="34" t="e">
        <f>AND(#REF!,"AAAAAB++9B8=")</f>
        <v>#REF!</v>
      </c>
      <c r="AG38" s="34" t="e">
        <f>AND(#REF!,"AAAAAB++9CA=")</f>
        <v>#REF!</v>
      </c>
      <c r="AH38" s="34" t="e">
        <f>AND(#REF!,"AAAAAB++9CE=")</f>
        <v>#REF!</v>
      </c>
      <c r="AI38" s="34" t="e">
        <f>AND(#REF!,"AAAAAB++9CI=")</f>
        <v>#REF!</v>
      </c>
      <c r="AJ38" s="34" t="e">
        <f>AND(#REF!,"AAAAAB++9CM=")</f>
        <v>#REF!</v>
      </c>
      <c r="AK38" s="34" t="e">
        <f>AND(#REF!,"AAAAAB++9CQ=")</f>
        <v>#REF!</v>
      </c>
      <c r="AL38" s="34" t="e">
        <f>AND(#REF!,"AAAAAB++9CU=")</f>
        <v>#REF!</v>
      </c>
      <c r="AM38" s="34" t="e">
        <f>AND(#REF!,"AAAAAB++9CY=")</f>
        <v>#REF!</v>
      </c>
      <c r="AN38" s="34" t="e">
        <f>AND(#REF!,"AAAAAB++9Cc=")</f>
        <v>#REF!</v>
      </c>
      <c r="AO38" s="34" t="e">
        <f>AND(#REF!,"AAAAAB++9Cg=")</f>
        <v>#REF!</v>
      </c>
      <c r="AP38" s="34" t="e">
        <f>AND(#REF!,"AAAAAB++9Ck=")</f>
        <v>#REF!</v>
      </c>
      <c r="AQ38" s="34" t="e">
        <f>AND(#REF!,"AAAAAB++9Co=")</f>
        <v>#REF!</v>
      </c>
      <c r="AR38" s="34" t="e">
        <f>IF(#REF!,"AAAAAB++9Cs=",0)</f>
        <v>#REF!</v>
      </c>
      <c r="AS38" s="34" t="e">
        <f>AND(#REF!,"AAAAAB++9Cw=")</f>
        <v>#REF!</v>
      </c>
      <c r="AT38" s="34" t="e">
        <f>AND(#REF!,"AAAAAB++9C0=")</f>
        <v>#REF!</v>
      </c>
      <c r="AU38" s="34" t="e">
        <f>AND(#REF!,"AAAAAB++9C4=")</f>
        <v>#REF!</v>
      </c>
      <c r="AV38" s="34" t="e">
        <f>AND(#REF!,"AAAAAB++9C8=")</f>
        <v>#REF!</v>
      </c>
      <c r="AW38" s="34" t="e">
        <f>AND(#REF!,"AAAAAB++9DA=")</f>
        <v>#REF!</v>
      </c>
      <c r="AX38" s="34" t="e">
        <f>AND(#REF!,"AAAAAB++9DE=")</f>
        <v>#REF!</v>
      </c>
      <c r="AY38" s="34" t="e">
        <f>AND(#REF!,"AAAAAB++9DI=")</f>
        <v>#REF!</v>
      </c>
      <c r="AZ38" s="34" t="e">
        <f>AND(#REF!,"AAAAAB++9DM=")</f>
        <v>#REF!</v>
      </c>
      <c r="BA38" s="34" t="e">
        <f>AND(#REF!,"AAAAAB++9DQ=")</f>
        <v>#REF!</v>
      </c>
      <c r="BB38" s="34" t="e">
        <f>AND(#REF!,"AAAAAB++9DU=")</f>
        <v>#REF!</v>
      </c>
      <c r="BC38" s="34" t="e">
        <f>AND(#REF!,"AAAAAB++9DY=")</f>
        <v>#REF!</v>
      </c>
      <c r="BD38" s="34" t="e">
        <f>AND(#REF!,"AAAAAB++9Dc=")</f>
        <v>#REF!</v>
      </c>
      <c r="BE38" s="34" t="e">
        <f>AND(#REF!,"AAAAAB++9Dg=")</f>
        <v>#REF!</v>
      </c>
      <c r="BF38" s="34" t="e">
        <f>AND(#REF!,"AAAAAB++9Dk=")</f>
        <v>#REF!</v>
      </c>
      <c r="BG38" s="34" t="e">
        <f>AND(#REF!,"AAAAAB++9Do=")</f>
        <v>#REF!</v>
      </c>
      <c r="BH38" s="34" t="e">
        <f>AND(#REF!,"AAAAAB++9Ds=")</f>
        <v>#REF!</v>
      </c>
      <c r="BI38" s="34" t="e">
        <f>AND(#REF!,"AAAAAB++9Dw=")</f>
        <v>#REF!</v>
      </c>
      <c r="BJ38" s="34" t="e">
        <f>AND(#REF!,"AAAAAB++9D0=")</f>
        <v>#REF!</v>
      </c>
      <c r="BK38" s="34" t="e">
        <f>AND(#REF!,"AAAAAB++9D4=")</f>
        <v>#REF!</v>
      </c>
      <c r="BL38" s="34" t="e">
        <f>AND(#REF!,"AAAAAB++9D8=")</f>
        <v>#REF!</v>
      </c>
      <c r="BM38" s="34" t="e">
        <f>AND(#REF!,"AAAAAB++9EA=")</f>
        <v>#REF!</v>
      </c>
      <c r="BN38" s="34" t="e">
        <f>AND(#REF!,"AAAAAB++9EE=")</f>
        <v>#REF!</v>
      </c>
      <c r="BO38" s="34" t="e">
        <f>AND(#REF!,"AAAAAB++9EI=")</f>
        <v>#REF!</v>
      </c>
      <c r="BP38" s="34" t="e">
        <f>AND(#REF!,"AAAAAB++9EM=")</f>
        <v>#REF!</v>
      </c>
      <c r="BQ38" s="34" t="e">
        <f>AND(#REF!,"AAAAAB++9EQ=")</f>
        <v>#REF!</v>
      </c>
      <c r="BR38" s="34" t="e">
        <f>AND(#REF!,"AAAAAB++9EU=")</f>
        <v>#REF!</v>
      </c>
      <c r="BS38" s="34" t="e">
        <f>AND(#REF!,"AAAAAB++9EY=")</f>
        <v>#REF!</v>
      </c>
      <c r="BT38" s="34" t="e">
        <f>AND(#REF!,"AAAAAB++9Ec=")</f>
        <v>#REF!</v>
      </c>
      <c r="BU38" s="34" t="e">
        <f>AND(#REF!,"AAAAAB++9Eg=")</f>
        <v>#REF!</v>
      </c>
      <c r="BV38" s="34" t="e">
        <f>AND(#REF!,"AAAAAB++9Ek=")</f>
        <v>#REF!</v>
      </c>
      <c r="BW38" s="34" t="e">
        <f>AND(#REF!,"AAAAAB++9Eo=")</f>
        <v>#REF!</v>
      </c>
      <c r="BX38" s="34" t="e">
        <f>AND(#REF!,"AAAAAB++9Es=")</f>
        <v>#REF!</v>
      </c>
      <c r="BY38" s="34" t="e">
        <f>AND(#REF!,"AAAAAB++9Ew=")</f>
        <v>#REF!</v>
      </c>
      <c r="BZ38" s="34" t="e">
        <f>AND(#REF!,"AAAAAB++9E0=")</f>
        <v>#REF!</v>
      </c>
      <c r="CA38" s="34" t="e">
        <f>AND(#REF!,"AAAAAB++9E4=")</f>
        <v>#REF!</v>
      </c>
      <c r="CB38" s="34" t="e">
        <f>AND(#REF!,"AAAAAB++9E8=")</f>
        <v>#REF!</v>
      </c>
      <c r="CC38" s="34" t="e">
        <f>AND(#REF!,"AAAAAB++9FA=")</f>
        <v>#REF!</v>
      </c>
      <c r="CD38" s="34" t="e">
        <f>AND(#REF!,"AAAAAB++9FE=")</f>
        <v>#REF!</v>
      </c>
      <c r="CE38" s="34" t="e">
        <f>AND(#REF!,"AAAAAB++9FI=")</f>
        <v>#REF!</v>
      </c>
      <c r="CF38" s="34" t="e">
        <f>AND(#REF!,"AAAAAB++9FM=")</f>
        <v>#REF!</v>
      </c>
      <c r="CG38" s="34" t="e">
        <f>AND(#REF!,"AAAAAB++9FQ=")</f>
        <v>#REF!</v>
      </c>
      <c r="CH38" s="34" t="e">
        <f>AND(#REF!,"AAAAAB++9FU=")</f>
        <v>#REF!</v>
      </c>
      <c r="CI38" s="34" t="e">
        <f>AND(#REF!,"AAAAAB++9FY=")</f>
        <v>#REF!</v>
      </c>
      <c r="CJ38" s="34" t="e">
        <f>AND(#REF!,"AAAAAB++9Fc=")</f>
        <v>#REF!</v>
      </c>
      <c r="CK38" s="34" t="e">
        <f>AND(#REF!,"AAAAAB++9Fg=")</f>
        <v>#REF!</v>
      </c>
      <c r="CL38" s="34" t="e">
        <f>AND(#REF!,"AAAAAB++9Fk=")</f>
        <v>#REF!</v>
      </c>
      <c r="CM38" s="34" t="e">
        <f>AND(#REF!,"AAAAAB++9Fo=")</f>
        <v>#REF!</v>
      </c>
      <c r="CN38" s="34" t="e">
        <f>AND(#REF!,"AAAAAB++9Fs=")</f>
        <v>#REF!</v>
      </c>
      <c r="CO38" s="34" t="e">
        <f>AND(#REF!,"AAAAAB++9Fw=")</f>
        <v>#REF!</v>
      </c>
      <c r="CP38" s="34" t="e">
        <f>AND(#REF!,"AAAAAB++9F0=")</f>
        <v>#REF!</v>
      </c>
      <c r="CQ38" s="34" t="e">
        <f>AND(#REF!,"AAAAAB++9F4=")</f>
        <v>#REF!</v>
      </c>
      <c r="CR38" s="34" t="e">
        <f>AND(#REF!,"AAAAAB++9F8=")</f>
        <v>#REF!</v>
      </c>
      <c r="CS38" s="34" t="e">
        <f>AND(#REF!,"AAAAAB++9GA=")</f>
        <v>#REF!</v>
      </c>
      <c r="CT38" s="34" t="e">
        <f>AND(#REF!,"AAAAAB++9GE=")</f>
        <v>#REF!</v>
      </c>
      <c r="CU38" s="34" t="e">
        <f>AND(#REF!,"AAAAAB++9GI=")</f>
        <v>#REF!</v>
      </c>
      <c r="CV38" s="34" t="e">
        <f>AND(#REF!,"AAAAAB++9GM=")</f>
        <v>#REF!</v>
      </c>
      <c r="CW38" s="34" t="e">
        <f>AND(#REF!,"AAAAAB++9GQ=")</f>
        <v>#REF!</v>
      </c>
      <c r="CX38" s="34" t="e">
        <f>AND(#REF!,"AAAAAB++9GU=")</f>
        <v>#REF!</v>
      </c>
      <c r="CY38" s="34" t="e">
        <f>AND(#REF!,"AAAAAB++9GY=")</f>
        <v>#REF!</v>
      </c>
      <c r="CZ38" s="34" t="e">
        <f>AND(#REF!,"AAAAAB++9Gc=")</f>
        <v>#REF!</v>
      </c>
      <c r="DA38" s="34" t="e">
        <f>AND(#REF!,"AAAAAB++9Gg=")</f>
        <v>#REF!</v>
      </c>
      <c r="DB38" s="34" t="e">
        <f>AND(#REF!,"AAAAAB++9Gk=")</f>
        <v>#REF!</v>
      </c>
      <c r="DC38" s="34" t="e">
        <f>AND(#REF!,"AAAAAB++9Go=")</f>
        <v>#REF!</v>
      </c>
      <c r="DD38" s="34" t="e">
        <f>AND(#REF!,"AAAAAB++9Gs=")</f>
        <v>#REF!</v>
      </c>
      <c r="DE38" s="34" t="e">
        <f>AND(#REF!,"AAAAAB++9Gw=")</f>
        <v>#REF!</v>
      </c>
      <c r="DF38" s="34" t="e">
        <f>AND(#REF!,"AAAAAB++9G0=")</f>
        <v>#REF!</v>
      </c>
      <c r="DG38" s="34" t="e">
        <f>AND(#REF!,"AAAAAB++9G4=")</f>
        <v>#REF!</v>
      </c>
      <c r="DH38" s="34" t="e">
        <f>AND(#REF!,"AAAAAB++9G8=")</f>
        <v>#REF!</v>
      </c>
      <c r="DI38" s="34" t="e">
        <f>AND(#REF!,"AAAAAB++9HA=")</f>
        <v>#REF!</v>
      </c>
      <c r="DJ38" s="34" t="e">
        <f>AND(#REF!,"AAAAAB++9HE=")</f>
        <v>#REF!</v>
      </c>
      <c r="DK38" s="34" t="e">
        <f>AND(#REF!,"AAAAAB++9HI=")</f>
        <v>#REF!</v>
      </c>
      <c r="DL38" s="34" t="e">
        <f>AND(#REF!,"AAAAAB++9HM=")</f>
        <v>#REF!</v>
      </c>
      <c r="DM38" s="34" t="e">
        <f>IF(#REF!,"AAAAAB++9HQ=",0)</f>
        <v>#REF!</v>
      </c>
      <c r="DN38" s="34" t="e">
        <f>AND(#REF!,"AAAAAB++9HU=")</f>
        <v>#REF!</v>
      </c>
      <c r="DO38" s="34" t="e">
        <f>AND(#REF!,"AAAAAB++9HY=")</f>
        <v>#REF!</v>
      </c>
      <c r="DP38" s="34" t="e">
        <f>AND(#REF!,"AAAAAB++9Hc=")</f>
        <v>#REF!</v>
      </c>
      <c r="DQ38" s="34" t="e">
        <f>AND(#REF!,"AAAAAB++9Hg=")</f>
        <v>#REF!</v>
      </c>
      <c r="DR38" s="34" t="e">
        <f>AND(#REF!,"AAAAAB++9Hk=")</f>
        <v>#REF!</v>
      </c>
      <c r="DS38" s="34" t="e">
        <f>AND(#REF!,"AAAAAB++9Ho=")</f>
        <v>#REF!</v>
      </c>
      <c r="DT38" s="34" t="e">
        <f>AND(#REF!,"AAAAAB++9Hs=")</f>
        <v>#REF!</v>
      </c>
      <c r="DU38" s="34" t="e">
        <f>AND(#REF!,"AAAAAB++9Hw=")</f>
        <v>#REF!</v>
      </c>
      <c r="DV38" s="34" t="e">
        <f>AND(#REF!,"AAAAAB++9H0=")</f>
        <v>#REF!</v>
      </c>
      <c r="DW38" s="34" t="e">
        <f>AND(#REF!,"AAAAAB++9H4=")</f>
        <v>#REF!</v>
      </c>
      <c r="DX38" s="34" t="e">
        <f>AND(#REF!,"AAAAAB++9H8=")</f>
        <v>#REF!</v>
      </c>
      <c r="DY38" s="34" t="e">
        <f>AND(#REF!,"AAAAAB++9IA=")</f>
        <v>#REF!</v>
      </c>
      <c r="DZ38" s="34" t="e">
        <f>AND(#REF!,"AAAAAB++9IE=")</f>
        <v>#REF!</v>
      </c>
      <c r="EA38" s="34" t="e">
        <f>AND(#REF!,"AAAAAB++9II=")</f>
        <v>#REF!</v>
      </c>
      <c r="EB38" s="34" t="e">
        <f>AND(#REF!,"AAAAAB++9IM=")</f>
        <v>#REF!</v>
      </c>
      <c r="EC38" s="34" t="e">
        <f>AND(#REF!,"AAAAAB++9IQ=")</f>
        <v>#REF!</v>
      </c>
      <c r="ED38" s="34" t="e">
        <f>AND(#REF!,"AAAAAB++9IU=")</f>
        <v>#REF!</v>
      </c>
      <c r="EE38" s="34" t="e">
        <f>AND(#REF!,"AAAAAB++9IY=")</f>
        <v>#REF!</v>
      </c>
      <c r="EF38" s="34" t="e">
        <f>AND(#REF!,"AAAAAB++9Ic=")</f>
        <v>#REF!</v>
      </c>
      <c r="EG38" s="34" t="e">
        <f>AND(#REF!,"AAAAAB++9Ig=")</f>
        <v>#REF!</v>
      </c>
      <c r="EH38" s="34" t="e">
        <f>AND(#REF!,"AAAAAB++9Ik=")</f>
        <v>#REF!</v>
      </c>
      <c r="EI38" s="34" t="e">
        <f>AND(#REF!,"AAAAAB++9Io=")</f>
        <v>#REF!</v>
      </c>
      <c r="EJ38" s="34" t="e">
        <f>AND(#REF!,"AAAAAB++9Is=")</f>
        <v>#REF!</v>
      </c>
      <c r="EK38" s="34" t="e">
        <f>AND(#REF!,"AAAAAB++9Iw=")</f>
        <v>#REF!</v>
      </c>
      <c r="EL38" s="34" t="e">
        <f>AND(#REF!,"AAAAAB++9I0=")</f>
        <v>#REF!</v>
      </c>
      <c r="EM38" s="34" t="e">
        <f>AND(#REF!,"AAAAAB++9I4=")</f>
        <v>#REF!</v>
      </c>
      <c r="EN38" s="34" t="e">
        <f>AND(#REF!,"AAAAAB++9I8=")</f>
        <v>#REF!</v>
      </c>
      <c r="EO38" s="34" t="e">
        <f>AND(#REF!,"AAAAAB++9JA=")</f>
        <v>#REF!</v>
      </c>
      <c r="EP38" s="34" t="e">
        <f>AND(#REF!,"AAAAAB++9JE=")</f>
        <v>#REF!</v>
      </c>
      <c r="EQ38" s="34" t="e">
        <f>AND(#REF!,"AAAAAB++9JI=")</f>
        <v>#REF!</v>
      </c>
      <c r="ER38" s="34" t="e">
        <f>AND(#REF!,"AAAAAB++9JM=")</f>
        <v>#REF!</v>
      </c>
      <c r="ES38" s="34" t="e">
        <f>AND(#REF!,"AAAAAB++9JQ=")</f>
        <v>#REF!</v>
      </c>
      <c r="ET38" s="34" t="e">
        <f>AND(#REF!,"AAAAAB++9JU=")</f>
        <v>#REF!</v>
      </c>
      <c r="EU38" s="34" t="e">
        <f>AND(#REF!,"AAAAAB++9JY=")</f>
        <v>#REF!</v>
      </c>
      <c r="EV38" s="34" t="e">
        <f>AND(#REF!,"AAAAAB++9Jc=")</f>
        <v>#REF!</v>
      </c>
      <c r="EW38" s="34" t="e">
        <f>AND(#REF!,"AAAAAB++9Jg=")</f>
        <v>#REF!</v>
      </c>
      <c r="EX38" s="34" t="e">
        <f>AND(#REF!,"AAAAAB++9Jk=")</f>
        <v>#REF!</v>
      </c>
      <c r="EY38" s="34" t="e">
        <f>AND(#REF!,"AAAAAB++9Jo=")</f>
        <v>#REF!</v>
      </c>
      <c r="EZ38" s="34" t="e">
        <f>AND(#REF!,"AAAAAB++9Js=")</f>
        <v>#REF!</v>
      </c>
      <c r="FA38" s="34" t="e">
        <f>AND(#REF!,"AAAAAB++9Jw=")</f>
        <v>#REF!</v>
      </c>
      <c r="FB38" s="34" t="e">
        <f>AND(#REF!,"AAAAAB++9J0=")</f>
        <v>#REF!</v>
      </c>
      <c r="FC38" s="34" t="e">
        <f>AND(#REF!,"AAAAAB++9J4=")</f>
        <v>#REF!</v>
      </c>
      <c r="FD38" s="34" t="e">
        <f>AND(#REF!,"AAAAAB++9J8=")</f>
        <v>#REF!</v>
      </c>
      <c r="FE38" s="34" t="e">
        <f>AND(#REF!,"AAAAAB++9KA=")</f>
        <v>#REF!</v>
      </c>
      <c r="FF38" s="34" t="e">
        <f>AND(#REF!,"AAAAAB++9KE=")</f>
        <v>#REF!</v>
      </c>
      <c r="FG38" s="34" t="e">
        <f>AND(#REF!,"AAAAAB++9KI=")</f>
        <v>#REF!</v>
      </c>
      <c r="FH38" s="34" t="e">
        <f>AND(#REF!,"AAAAAB++9KM=")</f>
        <v>#REF!</v>
      </c>
      <c r="FI38" s="34" t="e">
        <f>AND(#REF!,"AAAAAB++9KQ=")</f>
        <v>#REF!</v>
      </c>
      <c r="FJ38" s="34" t="e">
        <f>AND(#REF!,"AAAAAB++9KU=")</f>
        <v>#REF!</v>
      </c>
      <c r="FK38" s="34" t="e">
        <f>AND(#REF!,"AAAAAB++9KY=")</f>
        <v>#REF!</v>
      </c>
      <c r="FL38" s="34" t="e">
        <f>AND(#REF!,"AAAAAB++9Kc=")</f>
        <v>#REF!</v>
      </c>
      <c r="FM38" s="34" t="e">
        <f>AND(#REF!,"AAAAAB++9Kg=")</f>
        <v>#REF!</v>
      </c>
      <c r="FN38" s="34" t="e">
        <f>AND(#REF!,"AAAAAB++9Kk=")</f>
        <v>#REF!</v>
      </c>
      <c r="FO38" s="34" t="e">
        <f>AND(#REF!,"AAAAAB++9Ko=")</f>
        <v>#REF!</v>
      </c>
      <c r="FP38" s="34" t="e">
        <f>AND(#REF!,"AAAAAB++9Ks=")</f>
        <v>#REF!</v>
      </c>
      <c r="FQ38" s="34" t="e">
        <f>AND(#REF!,"AAAAAB++9Kw=")</f>
        <v>#REF!</v>
      </c>
      <c r="FR38" s="34" t="e">
        <f>AND(#REF!,"AAAAAB++9K0=")</f>
        <v>#REF!</v>
      </c>
      <c r="FS38" s="34" t="e">
        <f>AND(#REF!,"AAAAAB++9K4=")</f>
        <v>#REF!</v>
      </c>
      <c r="FT38" s="34" t="e">
        <f>AND(#REF!,"AAAAAB++9K8=")</f>
        <v>#REF!</v>
      </c>
      <c r="FU38" s="34" t="e">
        <f>AND(#REF!,"AAAAAB++9LA=")</f>
        <v>#REF!</v>
      </c>
      <c r="FV38" s="34" t="e">
        <f>AND(#REF!,"AAAAAB++9LE=")</f>
        <v>#REF!</v>
      </c>
      <c r="FW38" s="34" t="e">
        <f>AND(#REF!,"AAAAAB++9LI=")</f>
        <v>#REF!</v>
      </c>
      <c r="FX38" s="34" t="e">
        <f>AND(#REF!,"AAAAAB++9LM=")</f>
        <v>#REF!</v>
      </c>
      <c r="FY38" s="34" t="e">
        <f>AND(#REF!,"AAAAAB++9LQ=")</f>
        <v>#REF!</v>
      </c>
      <c r="FZ38" s="34" t="e">
        <f>AND(#REF!,"AAAAAB++9LU=")</f>
        <v>#REF!</v>
      </c>
      <c r="GA38" s="34" t="e">
        <f>AND(#REF!,"AAAAAB++9LY=")</f>
        <v>#REF!</v>
      </c>
      <c r="GB38" s="34" t="e">
        <f>AND(#REF!,"AAAAAB++9Lc=")</f>
        <v>#REF!</v>
      </c>
      <c r="GC38" s="34" t="e">
        <f>AND(#REF!,"AAAAAB++9Lg=")</f>
        <v>#REF!</v>
      </c>
      <c r="GD38" s="34" t="e">
        <f>AND(#REF!,"AAAAAB++9Lk=")</f>
        <v>#REF!</v>
      </c>
      <c r="GE38" s="34" t="e">
        <f>AND(#REF!,"AAAAAB++9Lo=")</f>
        <v>#REF!</v>
      </c>
      <c r="GF38" s="34" t="e">
        <f>AND(#REF!,"AAAAAB++9Ls=")</f>
        <v>#REF!</v>
      </c>
      <c r="GG38" s="34" t="e">
        <f>AND(#REF!,"AAAAAB++9Lw=")</f>
        <v>#REF!</v>
      </c>
      <c r="GH38" s="34" t="e">
        <f>IF(#REF!,"AAAAAB++9L0=",0)</f>
        <v>#REF!</v>
      </c>
      <c r="GI38" s="34" t="e">
        <f>AND(#REF!,"AAAAAB++9L4=")</f>
        <v>#REF!</v>
      </c>
      <c r="GJ38" s="34" t="e">
        <f>AND(#REF!,"AAAAAB++9L8=")</f>
        <v>#REF!</v>
      </c>
      <c r="GK38" s="34" t="e">
        <f>AND(#REF!,"AAAAAB++9MA=")</f>
        <v>#REF!</v>
      </c>
      <c r="GL38" s="34" t="e">
        <f>AND(#REF!,"AAAAAB++9ME=")</f>
        <v>#REF!</v>
      </c>
      <c r="GM38" s="34" t="e">
        <f>AND(#REF!,"AAAAAB++9MI=")</f>
        <v>#REF!</v>
      </c>
      <c r="GN38" s="34" t="e">
        <f>AND(#REF!,"AAAAAB++9MM=")</f>
        <v>#REF!</v>
      </c>
      <c r="GO38" s="34" t="e">
        <f>AND(#REF!,"AAAAAB++9MQ=")</f>
        <v>#REF!</v>
      </c>
      <c r="GP38" s="34" t="e">
        <f>AND(#REF!,"AAAAAB++9MU=")</f>
        <v>#REF!</v>
      </c>
      <c r="GQ38" s="34" t="e">
        <f>AND(#REF!,"AAAAAB++9MY=")</f>
        <v>#REF!</v>
      </c>
      <c r="GR38" s="34" t="e">
        <f>AND(#REF!,"AAAAAB++9Mc=")</f>
        <v>#REF!</v>
      </c>
      <c r="GS38" s="34" t="e">
        <f>AND(#REF!,"AAAAAB++9Mg=")</f>
        <v>#REF!</v>
      </c>
      <c r="GT38" s="34" t="e">
        <f>AND(#REF!,"AAAAAB++9Mk=")</f>
        <v>#REF!</v>
      </c>
      <c r="GU38" s="34" t="e">
        <f>AND(#REF!,"AAAAAB++9Mo=")</f>
        <v>#REF!</v>
      </c>
      <c r="GV38" s="34" t="e">
        <f>AND(#REF!,"AAAAAB++9Ms=")</f>
        <v>#REF!</v>
      </c>
      <c r="GW38" s="34" t="e">
        <f>AND(#REF!,"AAAAAB++9Mw=")</f>
        <v>#REF!</v>
      </c>
      <c r="GX38" s="34" t="e">
        <f>AND(#REF!,"AAAAAB++9M0=")</f>
        <v>#REF!</v>
      </c>
      <c r="GY38" s="34" t="e">
        <f>AND(#REF!,"AAAAAB++9M4=")</f>
        <v>#REF!</v>
      </c>
      <c r="GZ38" s="34" t="e">
        <f>AND(#REF!,"AAAAAB++9M8=")</f>
        <v>#REF!</v>
      </c>
      <c r="HA38" s="34" t="e">
        <f>AND(#REF!,"AAAAAB++9NA=")</f>
        <v>#REF!</v>
      </c>
      <c r="HB38" s="34" t="e">
        <f>AND(#REF!,"AAAAAB++9NE=")</f>
        <v>#REF!</v>
      </c>
      <c r="HC38" s="34" t="e">
        <f>AND(#REF!,"AAAAAB++9NI=")</f>
        <v>#REF!</v>
      </c>
      <c r="HD38" s="34" t="e">
        <f>AND(#REF!,"AAAAAB++9NM=")</f>
        <v>#REF!</v>
      </c>
      <c r="HE38" s="34" t="e">
        <f>AND(#REF!,"AAAAAB++9NQ=")</f>
        <v>#REF!</v>
      </c>
      <c r="HF38" s="34" t="e">
        <f>AND(#REF!,"AAAAAB++9NU=")</f>
        <v>#REF!</v>
      </c>
      <c r="HG38" s="34" t="e">
        <f>AND(#REF!,"AAAAAB++9NY=")</f>
        <v>#REF!</v>
      </c>
      <c r="HH38" s="34" t="e">
        <f>AND(#REF!,"AAAAAB++9Nc=")</f>
        <v>#REF!</v>
      </c>
      <c r="HI38" s="34" t="e">
        <f>AND(#REF!,"AAAAAB++9Ng=")</f>
        <v>#REF!</v>
      </c>
      <c r="HJ38" s="34" t="e">
        <f>AND(#REF!,"AAAAAB++9Nk=")</f>
        <v>#REF!</v>
      </c>
      <c r="HK38" s="34" t="e">
        <f>AND(#REF!,"AAAAAB++9No=")</f>
        <v>#REF!</v>
      </c>
      <c r="HL38" s="34" t="e">
        <f>AND(#REF!,"AAAAAB++9Ns=")</f>
        <v>#REF!</v>
      </c>
      <c r="HM38" s="34" t="e">
        <f>AND(#REF!,"AAAAAB++9Nw=")</f>
        <v>#REF!</v>
      </c>
      <c r="HN38" s="34" t="e">
        <f>AND(#REF!,"AAAAAB++9N0=")</f>
        <v>#REF!</v>
      </c>
      <c r="HO38" s="34" t="e">
        <f>AND(#REF!,"AAAAAB++9N4=")</f>
        <v>#REF!</v>
      </c>
      <c r="HP38" s="34" t="e">
        <f>AND(#REF!,"AAAAAB++9N8=")</f>
        <v>#REF!</v>
      </c>
      <c r="HQ38" s="34" t="e">
        <f>AND(#REF!,"AAAAAB++9OA=")</f>
        <v>#REF!</v>
      </c>
      <c r="HR38" s="34" t="e">
        <f>AND(#REF!,"AAAAAB++9OE=")</f>
        <v>#REF!</v>
      </c>
      <c r="HS38" s="34" t="e">
        <f>AND(#REF!,"AAAAAB++9OI=")</f>
        <v>#REF!</v>
      </c>
      <c r="HT38" s="34" t="e">
        <f>AND(#REF!,"AAAAAB++9OM=")</f>
        <v>#REF!</v>
      </c>
      <c r="HU38" s="34" t="e">
        <f>AND(#REF!,"AAAAAB++9OQ=")</f>
        <v>#REF!</v>
      </c>
      <c r="HV38" s="34" t="e">
        <f>AND(#REF!,"AAAAAB++9OU=")</f>
        <v>#REF!</v>
      </c>
      <c r="HW38" s="34" t="e">
        <f>AND(#REF!,"AAAAAB++9OY=")</f>
        <v>#REF!</v>
      </c>
      <c r="HX38" s="34" t="e">
        <f>AND(#REF!,"AAAAAB++9Oc=")</f>
        <v>#REF!</v>
      </c>
      <c r="HY38" s="34" t="e">
        <f>AND(#REF!,"AAAAAB++9Og=")</f>
        <v>#REF!</v>
      </c>
      <c r="HZ38" s="34" t="e">
        <f>AND(#REF!,"AAAAAB++9Ok=")</f>
        <v>#REF!</v>
      </c>
      <c r="IA38" s="34" t="e">
        <f>AND(#REF!,"AAAAAB++9Oo=")</f>
        <v>#REF!</v>
      </c>
      <c r="IB38" s="34" t="e">
        <f>AND(#REF!,"AAAAAB++9Os=")</f>
        <v>#REF!</v>
      </c>
      <c r="IC38" s="34" t="e">
        <f>AND(#REF!,"AAAAAB++9Ow=")</f>
        <v>#REF!</v>
      </c>
      <c r="ID38" s="34" t="e">
        <f>AND(#REF!,"AAAAAB++9O0=")</f>
        <v>#REF!</v>
      </c>
      <c r="IE38" s="34" t="e">
        <f>AND(#REF!,"AAAAAB++9O4=")</f>
        <v>#REF!</v>
      </c>
      <c r="IF38" s="34" t="e">
        <f>AND(#REF!,"AAAAAB++9O8=")</f>
        <v>#REF!</v>
      </c>
      <c r="IG38" s="34" t="e">
        <f>AND(#REF!,"AAAAAB++9PA=")</f>
        <v>#REF!</v>
      </c>
      <c r="IH38" s="34" t="e">
        <f>AND(#REF!,"AAAAAB++9PE=")</f>
        <v>#REF!</v>
      </c>
      <c r="II38" s="34" t="e">
        <f>AND(#REF!,"AAAAAB++9PI=")</f>
        <v>#REF!</v>
      </c>
      <c r="IJ38" s="34" t="e">
        <f>AND(#REF!,"AAAAAB++9PM=")</f>
        <v>#REF!</v>
      </c>
      <c r="IK38" s="34" t="e">
        <f>AND(#REF!,"AAAAAB++9PQ=")</f>
        <v>#REF!</v>
      </c>
      <c r="IL38" s="34" t="e">
        <f>AND(#REF!,"AAAAAB++9PU=")</f>
        <v>#REF!</v>
      </c>
      <c r="IM38" s="34" t="e">
        <f>AND(#REF!,"AAAAAB++9PY=")</f>
        <v>#REF!</v>
      </c>
      <c r="IN38" s="34" t="e">
        <f>AND(#REF!,"AAAAAB++9Pc=")</f>
        <v>#REF!</v>
      </c>
      <c r="IO38" s="34" t="e">
        <f>AND(#REF!,"AAAAAB++9Pg=")</f>
        <v>#REF!</v>
      </c>
      <c r="IP38" s="34" t="e">
        <f>AND(#REF!,"AAAAAB++9Pk=")</f>
        <v>#REF!</v>
      </c>
      <c r="IQ38" s="34" t="e">
        <f>AND(#REF!,"AAAAAB++9Po=")</f>
        <v>#REF!</v>
      </c>
      <c r="IR38" s="34" t="e">
        <f>AND(#REF!,"AAAAAB++9Ps=")</f>
        <v>#REF!</v>
      </c>
      <c r="IS38" s="34" t="e">
        <f>AND(#REF!,"AAAAAB++9Pw=")</f>
        <v>#REF!</v>
      </c>
      <c r="IT38" s="34" t="e">
        <f>AND(#REF!,"AAAAAB++9P0=")</f>
        <v>#REF!</v>
      </c>
      <c r="IU38" s="34" t="e">
        <f>AND(#REF!,"AAAAAB++9P4=")</f>
        <v>#REF!</v>
      </c>
      <c r="IV38" s="34" t="e">
        <f>AND(#REF!,"AAAAAB++9P8=")</f>
        <v>#REF!</v>
      </c>
    </row>
    <row r="39" spans="1:256" ht="12.75" customHeight="1" x14ac:dyDescent="0.2">
      <c r="A39" s="34" t="e">
        <f>AND(#REF!,"AAAAAHfd/gA=")</f>
        <v>#REF!</v>
      </c>
      <c r="B39" s="34" t="e">
        <f>AND(#REF!,"AAAAAHfd/gE=")</f>
        <v>#REF!</v>
      </c>
      <c r="C39" s="34" t="e">
        <f>AND(#REF!,"AAAAAHfd/gI=")</f>
        <v>#REF!</v>
      </c>
      <c r="D39" s="34" t="e">
        <f>AND(#REF!,"AAAAAHfd/gM=")</f>
        <v>#REF!</v>
      </c>
      <c r="E39" s="34" t="e">
        <f>AND(#REF!,"AAAAAHfd/gQ=")</f>
        <v>#REF!</v>
      </c>
      <c r="F39" s="34" t="e">
        <f>AND(#REF!,"AAAAAHfd/gU=")</f>
        <v>#REF!</v>
      </c>
      <c r="G39" s="34" t="e">
        <f>IF(#REF!,"AAAAAHfd/gY=",0)</f>
        <v>#REF!</v>
      </c>
      <c r="H39" s="34" t="e">
        <f>AND(#REF!,"AAAAAHfd/gc=")</f>
        <v>#REF!</v>
      </c>
      <c r="I39" s="34" t="e">
        <f>AND(#REF!,"AAAAAHfd/gg=")</f>
        <v>#REF!</v>
      </c>
      <c r="J39" s="34" t="e">
        <f>AND(#REF!,"AAAAAHfd/gk=")</f>
        <v>#REF!</v>
      </c>
      <c r="K39" s="34" t="e">
        <f>AND(#REF!,"AAAAAHfd/go=")</f>
        <v>#REF!</v>
      </c>
      <c r="L39" s="34" t="e">
        <f>AND(#REF!,"AAAAAHfd/gs=")</f>
        <v>#REF!</v>
      </c>
      <c r="M39" s="34" t="e">
        <f>AND(#REF!,"AAAAAHfd/gw=")</f>
        <v>#REF!</v>
      </c>
      <c r="N39" s="34" t="e">
        <f>AND(#REF!,"AAAAAHfd/g0=")</f>
        <v>#REF!</v>
      </c>
      <c r="O39" s="34" t="e">
        <f>AND(#REF!,"AAAAAHfd/g4=")</f>
        <v>#REF!</v>
      </c>
      <c r="P39" s="34" t="e">
        <f>AND(#REF!,"AAAAAHfd/g8=")</f>
        <v>#REF!</v>
      </c>
      <c r="Q39" s="34" t="e">
        <f>AND(#REF!,"AAAAAHfd/hA=")</f>
        <v>#REF!</v>
      </c>
      <c r="R39" s="34" t="e">
        <f>AND(#REF!,"AAAAAHfd/hE=")</f>
        <v>#REF!</v>
      </c>
      <c r="S39" s="34" t="e">
        <f>AND(#REF!,"AAAAAHfd/hI=")</f>
        <v>#REF!</v>
      </c>
      <c r="T39" s="34" t="e">
        <f>AND(#REF!,"AAAAAHfd/hM=")</f>
        <v>#REF!</v>
      </c>
      <c r="U39" s="34" t="e">
        <f>AND(#REF!,"AAAAAHfd/hQ=")</f>
        <v>#REF!</v>
      </c>
      <c r="V39" s="34" t="e">
        <f>AND(#REF!,"AAAAAHfd/hU=")</f>
        <v>#REF!</v>
      </c>
      <c r="W39" s="34" t="e">
        <f>AND(#REF!,"AAAAAHfd/hY=")</f>
        <v>#REF!</v>
      </c>
      <c r="X39" s="34" t="e">
        <f>AND(#REF!,"AAAAAHfd/hc=")</f>
        <v>#REF!</v>
      </c>
      <c r="Y39" s="34" t="e">
        <f>AND(#REF!,"AAAAAHfd/hg=")</f>
        <v>#REF!</v>
      </c>
      <c r="Z39" s="34" t="e">
        <f>AND(#REF!,"AAAAAHfd/hk=")</f>
        <v>#REF!</v>
      </c>
      <c r="AA39" s="34" t="e">
        <f>AND(#REF!,"AAAAAHfd/ho=")</f>
        <v>#REF!</v>
      </c>
      <c r="AB39" s="34" t="e">
        <f>AND(#REF!,"AAAAAHfd/hs=")</f>
        <v>#REF!</v>
      </c>
      <c r="AC39" s="34" t="e">
        <f>AND(#REF!,"AAAAAHfd/hw=")</f>
        <v>#REF!</v>
      </c>
      <c r="AD39" s="34" t="e">
        <f>AND(#REF!,"AAAAAHfd/h0=")</f>
        <v>#REF!</v>
      </c>
      <c r="AE39" s="34" t="e">
        <f>AND(#REF!,"AAAAAHfd/h4=")</f>
        <v>#REF!</v>
      </c>
      <c r="AF39" s="34" t="e">
        <f>AND(#REF!,"AAAAAHfd/h8=")</f>
        <v>#REF!</v>
      </c>
      <c r="AG39" s="34" t="e">
        <f>AND(#REF!,"AAAAAHfd/iA=")</f>
        <v>#REF!</v>
      </c>
      <c r="AH39" s="34" t="e">
        <f>AND(#REF!,"AAAAAHfd/iE=")</f>
        <v>#REF!</v>
      </c>
      <c r="AI39" s="34" t="e">
        <f>AND(#REF!,"AAAAAHfd/iI=")</f>
        <v>#REF!</v>
      </c>
      <c r="AJ39" s="34" t="e">
        <f>AND(#REF!,"AAAAAHfd/iM=")</f>
        <v>#REF!</v>
      </c>
      <c r="AK39" s="34" t="e">
        <f>AND(#REF!,"AAAAAHfd/iQ=")</f>
        <v>#REF!</v>
      </c>
      <c r="AL39" s="34" t="e">
        <f>AND(#REF!,"AAAAAHfd/iU=")</f>
        <v>#REF!</v>
      </c>
      <c r="AM39" s="34" t="e">
        <f>AND(#REF!,"AAAAAHfd/iY=")</f>
        <v>#REF!</v>
      </c>
      <c r="AN39" s="34" t="e">
        <f>AND(#REF!,"AAAAAHfd/ic=")</f>
        <v>#REF!</v>
      </c>
      <c r="AO39" s="34" t="e">
        <f>AND(#REF!,"AAAAAHfd/ig=")</f>
        <v>#REF!</v>
      </c>
      <c r="AP39" s="34" t="e">
        <f>AND(#REF!,"AAAAAHfd/ik=")</f>
        <v>#REF!</v>
      </c>
      <c r="AQ39" s="34" t="e">
        <f>AND(#REF!,"AAAAAHfd/io=")</f>
        <v>#REF!</v>
      </c>
      <c r="AR39" s="34" t="e">
        <f>AND(#REF!,"AAAAAHfd/is=")</f>
        <v>#REF!</v>
      </c>
      <c r="AS39" s="34" t="e">
        <f>AND(#REF!,"AAAAAHfd/iw=")</f>
        <v>#REF!</v>
      </c>
      <c r="AT39" s="34" t="e">
        <f>AND(#REF!,"AAAAAHfd/i0=")</f>
        <v>#REF!</v>
      </c>
      <c r="AU39" s="34" t="e">
        <f>AND(#REF!,"AAAAAHfd/i4=")</f>
        <v>#REF!</v>
      </c>
      <c r="AV39" s="34" t="e">
        <f>AND(#REF!,"AAAAAHfd/i8=")</f>
        <v>#REF!</v>
      </c>
      <c r="AW39" s="34" t="e">
        <f>AND(#REF!,"AAAAAHfd/jA=")</f>
        <v>#REF!</v>
      </c>
      <c r="AX39" s="34" t="e">
        <f>AND(#REF!,"AAAAAHfd/jE=")</f>
        <v>#REF!</v>
      </c>
      <c r="AY39" s="34" t="e">
        <f>AND(#REF!,"AAAAAHfd/jI=")</f>
        <v>#REF!</v>
      </c>
      <c r="AZ39" s="34" t="e">
        <f>AND(#REF!,"AAAAAHfd/jM=")</f>
        <v>#REF!</v>
      </c>
      <c r="BA39" s="34" t="e">
        <f>AND(#REF!,"AAAAAHfd/jQ=")</f>
        <v>#REF!</v>
      </c>
      <c r="BB39" s="34" t="e">
        <f>AND(#REF!,"AAAAAHfd/jU=")</f>
        <v>#REF!</v>
      </c>
      <c r="BC39" s="34" t="e">
        <f>AND(#REF!,"AAAAAHfd/jY=")</f>
        <v>#REF!</v>
      </c>
      <c r="BD39" s="34" t="e">
        <f>AND(#REF!,"AAAAAHfd/jc=")</f>
        <v>#REF!</v>
      </c>
      <c r="BE39" s="34" t="e">
        <f>AND(#REF!,"AAAAAHfd/jg=")</f>
        <v>#REF!</v>
      </c>
      <c r="BF39" s="34" t="e">
        <f>AND(#REF!,"AAAAAHfd/jk=")</f>
        <v>#REF!</v>
      </c>
      <c r="BG39" s="34" t="e">
        <f>AND(#REF!,"AAAAAHfd/jo=")</f>
        <v>#REF!</v>
      </c>
      <c r="BH39" s="34" t="e">
        <f>AND(#REF!,"AAAAAHfd/js=")</f>
        <v>#REF!</v>
      </c>
      <c r="BI39" s="34" t="e">
        <f>AND(#REF!,"AAAAAHfd/jw=")</f>
        <v>#REF!</v>
      </c>
      <c r="BJ39" s="34" t="e">
        <f>AND(#REF!,"AAAAAHfd/j0=")</f>
        <v>#REF!</v>
      </c>
      <c r="BK39" s="34" t="e">
        <f>AND(#REF!,"AAAAAHfd/j4=")</f>
        <v>#REF!</v>
      </c>
      <c r="BL39" s="34" t="e">
        <f>AND(#REF!,"AAAAAHfd/j8=")</f>
        <v>#REF!</v>
      </c>
      <c r="BM39" s="34" t="e">
        <f>AND(#REF!,"AAAAAHfd/kA=")</f>
        <v>#REF!</v>
      </c>
      <c r="BN39" s="34" t="e">
        <f>AND(#REF!,"AAAAAHfd/kE=")</f>
        <v>#REF!</v>
      </c>
      <c r="BO39" s="34" t="e">
        <f>AND(#REF!,"AAAAAHfd/kI=")</f>
        <v>#REF!</v>
      </c>
      <c r="BP39" s="34" t="e">
        <f>AND(#REF!,"AAAAAHfd/kM=")</f>
        <v>#REF!</v>
      </c>
      <c r="BQ39" s="34" t="e">
        <f>AND(#REF!,"AAAAAHfd/kQ=")</f>
        <v>#REF!</v>
      </c>
      <c r="BR39" s="34" t="e">
        <f>AND(#REF!,"AAAAAHfd/kU=")</f>
        <v>#REF!</v>
      </c>
      <c r="BS39" s="34" t="e">
        <f>AND(#REF!,"AAAAAHfd/kY=")</f>
        <v>#REF!</v>
      </c>
      <c r="BT39" s="34" t="e">
        <f>AND(#REF!,"AAAAAHfd/kc=")</f>
        <v>#REF!</v>
      </c>
      <c r="BU39" s="34" t="e">
        <f>AND(#REF!,"AAAAAHfd/kg=")</f>
        <v>#REF!</v>
      </c>
      <c r="BV39" s="34" t="e">
        <f>AND(#REF!,"AAAAAHfd/kk=")</f>
        <v>#REF!</v>
      </c>
      <c r="BW39" s="34" t="e">
        <f>AND(#REF!,"AAAAAHfd/ko=")</f>
        <v>#REF!</v>
      </c>
      <c r="BX39" s="34" t="e">
        <f>AND(#REF!,"AAAAAHfd/ks=")</f>
        <v>#REF!</v>
      </c>
      <c r="BY39" s="34" t="e">
        <f>AND(#REF!,"AAAAAHfd/kw=")</f>
        <v>#REF!</v>
      </c>
      <c r="BZ39" s="34" t="e">
        <f>AND(#REF!,"AAAAAHfd/k0=")</f>
        <v>#REF!</v>
      </c>
      <c r="CA39" s="34" t="e">
        <f>AND(#REF!,"AAAAAHfd/k4=")</f>
        <v>#REF!</v>
      </c>
      <c r="CB39" s="34" t="e">
        <f>IF(#REF!,"AAAAAHfd/k8=",0)</f>
        <v>#REF!</v>
      </c>
      <c r="CC39" s="34" t="e">
        <f>AND(#REF!,"AAAAAHfd/lA=")</f>
        <v>#REF!</v>
      </c>
      <c r="CD39" s="34" t="e">
        <f>AND(#REF!,"AAAAAHfd/lE=")</f>
        <v>#REF!</v>
      </c>
      <c r="CE39" s="34" t="e">
        <f>AND(#REF!,"AAAAAHfd/lI=")</f>
        <v>#REF!</v>
      </c>
      <c r="CF39" s="34" t="e">
        <f>AND(#REF!,"AAAAAHfd/lM=")</f>
        <v>#REF!</v>
      </c>
      <c r="CG39" s="34" t="e">
        <f>AND(#REF!,"AAAAAHfd/lQ=")</f>
        <v>#REF!</v>
      </c>
      <c r="CH39" s="34" t="e">
        <f>AND(#REF!,"AAAAAHfd/lU=")</f>
        <v>#REF!</v>
      </c>
      <c r="CI39" s="34" t="e">
        <f>AND(#REF!,"AAAAAHfd/lY=")</f>
        <v>#REF!</v>
      </c>
      <c r="CJ39" s="34" t="e">
        <f>AND(#REF!,"AAAAAHfd/lc=")</f>
        <v>#REF!</v>
      </c>
      <c r="CK39" s="34" t="e">
        <f>AND(#REF!,"AAAAAHfd/lg=")</f>
        <v>#REF!</v>
      </c>
      <c r="CL39" s="34" t="e">
        <f>AND(#REF!,"AAAAAHfd/lk=")</f>
        <v>#REF!</v>
      </c>
      <c r="CM39" s="34" t="e">
        <f>AND(#REF!,"AAAAAHfd/lo=")</f>
        <v>#REF!</v>
      </c>
      <c r="CN39" s="34" t="e">
        <f>AND(#REF!,"AAAAAHfd/ls=")</f>
        <v>#REF!</v>
      </c>
      <c r="CO39" s="34" t="e">
        <f>AND(#REF!,"AAAAAHfd/lw=")</f>
        <v>#REF!</v>
      </c>
      <c r="CP39" s="34" t="e">
        <f>AND(#REF!,"AAAAAHfd/l0=")</f>
        <v>#REF!</v>
      </c>
      <c r="CQ39" s="34" t="e">
        <f>AND(#REF!,"AAAAAHfd/l4=")</f>
        <v>#REF!</v>
      </c>
      <c r="CR39" s="34" t="e">
        <f>AND(#REF!,"AAAAAHfd/l8=")</f>
        <v>#REF!</v>
      </c>
      <c r="CS39" s="34" t="e">
        <f>AND(#REF!,"AAAAAHfd/mA=")</f>
        <v>#REF!</v>
      </c>
      <c r="CT39" s="34" t="e">
        <f>AND(#REF!,"AAAAAHfd/mE=")</f>
        <v>#REF!</v>
      </c>
      <c r="CU39" s="34" t="e">
        <f>AND(#REF!,"AAAAAHfd/mI=")</f>
        <v>#REF!</v>
      </c>
      <c r="CV39" s="34" t="e">
        <f>AND(#REF!,"AAAAAHfd/mM=")</f>
        <v>#REF!</v>
      </c>
      <c r="CW39" s="34" t="e">
        <f>AND(#REF!,"AAAAAHfd/mQ=")</f>
        <v>#REF!</v>
      </c>
      <c r="CX39" s="34" t="e">
        <f>AND(#REF!,"AAAAAHfd/mU=")</f>
        <v>#REF!</v>
      </c>
      <c r="CY39" s="34" t="e">
        <f>AND(#REF!,"AAAAAHfd/mY=")</f>
        <v>#REF!</v>
      </c>
      <c r="CZ39" s="34" t="e">
        <f>AND(#REF!,"AAAAAHfd/mc=")</f>
        <v>#REF!</v>
      </c>
      <c r="DA39" s="34" t="e">
        <f>AND(#REF!,"AAAAAHfd/mg=")</f>
        <v>#REF!</v>
      </c>
      <c r="DB39" s="34" t="e">
        <f>AND(#REF!,"AAAAAHfd/mk=")</f>
        <v>#REF!</v>
      </c>
      <c r="DC39" s="34" t="e">
        <f>AND(#REF!,"AAAAAHfd/mo=")</f>
        <v>#REF!</v>
      </c>
      <c r="DD39" s="34" t="e">
        <f>AND(#REF!,"AAAAAHfd/ms=")</f>
        <v>#REF!</v>
      </c>
      <c r="DE39" s="34" t="e">
        <f>AND(#REF!,"AAAAAHfd/mw=")</f>
        <v>#REF!</v>
      </c>
      <c r="DF39" s="34" t="e">
        <f>AND(#REF!,"AAAAAHfd/m0=")</f>
        <v>#REF!</v>
      </c>
      <c r="DG39" s="34" t="e">
        <f>AND(#REF!,"AAAAAHfd/m4=")</f>
        <v>#REF!</v>
      </c>
      <c r="DH39" s="34" t="e">
        <f>AND(#REF!,"AAAAAHfd/m8=")</f>
        <v>#REF!</v>
      </c>
      <c r="DI39" s="34" t="e">
        <f>AND(#REF!,"AAAAAHfd/nA=")</f>
        <v>#REF!</v>
      </c>
      <c r="DJ39" s="34" t="e">
        <f>AND(#REF!,"AAAAAHfd/nE=")</f>
        <v>#REF!</v>
      </c>
      <c r="DK39" s="34" t="e">
        <f>AND(#REF!,"AAAAAHfd/nI=")</f>
        <v>#REF!</v>
      </c>
      <c r="DL39" s="34" t="e">
        <f>AND(#REF!,"AAAAAHfd/nM=")</f>
        <v>#REF!</v>
      </c>
      <c r="DM39" s="34" t="e">
        <f>AND(#REF!,"AAAAAHfd/nQ=")</f>
        <v>#REF!</v>
      </c>
      <c r="DN39" s="34" t="e">
        <f>AND(#REF!,"AAAAAHfd/nU=")</f>
        <v>#REF!</v>
      </c>
      <c r="DO39" s="34" t="e">
        <f>AND(#REF!,"AAAAAHfd/nY=")</f>
        <v>#REF!</v>
      </c>
      <c r="DP39" s="34" t="e">
        <f>AND(#REF!,"AAAAAHfd/nc=")</f>
        <v>#REF!</v>
      </c>
      <c r="DQ39" s="34" t="e">
        <f>AND(#REF!,"AAAAAHfd/ng=")</f>
        <v>#REF!</v>
      </c>
      <c r="DR39" s="34" t="e">
        <f>AND(#REF!,"AAAAAHfd/nk=")</f>
        <v>#REF!</v>
      </c>
      <c r="DS39" s="34" t="e">
        <f>AND(#REF!,"AAAAAHfd/no=")</f>
        <v>#REF!</v>
      </c>
      <c r="DT39" s="34" t="e">
        <f>AND(#REF!,"AAAAAHfd/ns=")</f>
        <v>#REF!</v>
      </c>
      <c r="DU39" s="34" t="e">
        <f>AND(#REF!,"AAAAAHfd/nw=")</f>
        <v>#REF!</v>
      </c>
      <c r="DV39" s="34" t="e">
        <f>AND(#REF!,"AAAAAHfd/n0=")</f>
        <v>#REF!</v>
      </c>
      <c r="DW39" s="34" t="e">
        <f>AND(#REF!,"AAAAAHfd/n4=")</f>
        <v>#REF!</v>
      </c>
      <c r="DX39" s="34" t="e">
        <f>AND(#REF!,"AAAAAHfd/n8=")</f>
        <v>#REF!</v>
      </c>
      <c r="DY39" s="34" t="e">
        <f>AND(#REF!,"AAAAAHfd/oA=")</f>
        <v>#REF!</v>
      </c>
      <c r="DZ39" s="34" t="e">
        <f>AND(#REF!,"AAAAAHfd/oE=")</f>
        <v>#REF!</v>
      </c>
      <c r="EA39" s="34" t="e">
        <f>AND(#REF!,"AAAAAHfd/oI=")</f>
        <v>#REF!</v>
      </c>
      <c r="EB39" s="34" t="e">
        <f>AND(#REF!,"AAAAAHfd/oM=")</f>
        <v>#REF!</v>
      </c>
      <c r="EC39" s="34" t="e">
        <f>AND(#REF!,"AAAAAHfd/oQ=")</f>
        <v>#REF!</v>
      </c>
      <c r="ED39" s="34" t="e">
        <f>AND(#REF!,"AAAAAHfd/oU=")</f>
        <v>#REF!</v>
      </c>
      <c r="EE39" s="34" t="e">
        <f>AND(#REF!,"AAAAAHfd/oY=")</f>
        <v>#REF!</v>
      </c>
      <c r="EF39" s="34" t="e">
        <f>AND(#REF!,"AAAAAHfd/oc=")</f>
        <v>#REF!</v>
      </c>
      <c r="EG39" s="34" t="e">
        <f>AND(#REF!,"AAAAAHfd/og=")</f>
        <v>#REF!</v>
      </c>
      <c r="EH39" s="34" t="e">
        <f>AND(#REF!,"AAAAAHfd/ok=")</f>
        <v>#REF!</v>
      </c>
      <c r="EI39" s="34" t="e">
        <f>AND(#REF!,"AAAAAHfd/oo=")</f>
        <v>#REF!</v>
      </c>
      <c r="EJ39" s="34" t="e">
        <f>AND(#REF!,"AAAAAHfd/os=")</f>
        <v>#REF!</v>
      </c>
      <c r="EK39" s="34" t="e">
        <f>AND(#REF!,"AAAAAHfd/ow=")</f>
        <v>#REF!</v>
      </c>
      <c r="EL39" s="34" t="e">
        <f>AND(#REF!,"AAAAAHfd/o0=")</f>
        <v>#REF!</v>
      </c>
      <c r="EM39" s="34" t="e">
        <f>AND(#REF!,"AAAAAHfd/o4=")</f>
        <v>#REF!</v>
      </c>
      <c r="EN39" s="34" t="e">
        <f>AND(#REF!,"AAAAAHfd/o8=")</f>
        <v>#REF!</v>
      </c>
      <c r="EO39" s="34" t="e">
        <f>AND(#REF!,"AAAAAHfd/pA=")</f>
        <v>#REF!</v>
      </c>
      <c r="EP39" s="34" t="e">
        <f>AND(#REF!,"AAAAAHfd/pE=")</f>
        <v>#REF!</v>
      </c>
      <c r="EQ39" s="34" t="e">
        <f>AND(#REF!,"AAAAAHfd/pI=")</f>
        <v>#REF!</v>
      </c>
      <c r="ER39" s="34" t="e">
        <f>AND(#REF!,"AAAAAHfd/pM=")</f>
        <v>#REF!</v>
      </c>
      <c r="ES39" s="34" t="e">
        <f>AND(#REF!,"AAAAAHfd/pQ=")</f>
        <v>#REF!</v>
      </c>
      <c r="ET39" s="34" t="e">
        <f>AND(#REF!,"AAAAAHfd/pU=")</f>
        <v>#REF!</v>
      </c>
      <c r="EU39" s="34" t="e">
        <f>AND(#REF!,"AAAAAHfd/pY=")</f>
        <v>#REF!</v>
      </c>
      <c r="EV39" s="34" t="e">
        <f>AND(#REF!,"AAAAAHfd/pc=")</f>
        <v>#REF!</v>
      </c>
      <c r="EW39" s="34" t="e">
        <f>IF(#REF!,"AAAAAHfd/pg=",0)</f>
        <v>#REF!</v>
      </c>
      <c r="EX39" s="34" t="e">
        <f>AND(#REF!,"AAAAAHfd/pk=")</f>
        <v>#REF!</v>
      </c>
      <c r="EY39" s="34" t="e">
        <f>AND(#REF!,"AAAAAHfd/po=")</f>
        <v>#REF!</v>
      </c>
      <c r="EZ39" s="34" t="e">
        <f>AND(#REF!,"AAAAAHfd/ps=")</f>
        <v>#REF!</v>
      </c>
      <c r="FA39" s="34" t="e">
        <f>AND(#REF!,"AAAAAHfd/pw=")</f>
        <v>#REF!</v>
      </c>
      <c r="FB39" s="34" t="e">
        <f>AND(#REF!,"AAAAAHfd/p0=")</f>
        <v>#REF!</v>
      </c>
      <c r="FC39" s="34" t="e">
        <f>AND(#REF!,"AAAAAHfd/p4=")</f>
        <v>#REF!</v>
      </c>
      <c r="FD39" s="34" t="e">
        <f>AND(#REF!,"AAAAAHfd/p8=")</f>
        <v>#REF!</v>
      </c>
      <c r="FE39" s="34" t="e">
        <f>AND(#REF!,"AAAAAHfd/qA=")</f>
        <v>#REF!</v>
      </c>
      <c r="FF39" s="34" t="e">
        <f>AND(#REF!,"AAAAAHfd/qE=")</f>
        <v>#REF!</v>
      </c>
      <c r="FG39" s="34" t="e">
        <f>AND(#REF!,"AAAAAHfd/qI=")</f>
        <v>#REF!</v>
      </c>
      <c r="FH39" s="34" t="e">
        <f>AND(#REF!,"AAAAAHfd/qM=")</f>
        <v>#REF!</v>
      </c>
      <c r="FI39" s="34" t="e">
        <f>AND(#REF!,"AAAAAHfd/qQ=")</f>
        <v>#REF!</v>
      </c>
      <c r="FJ39" s="34" t="e">
        <f>AND(#REF!,"AAAAAHfd/qU=")</f>
        <v>#REF!</v>
      </c>
      <c r="FK39" s="34" t="e">
        <f>AND(#REF!,"AAAAAHfd/qY=")</f>
        <v>#REF!</v>
      </c>
      <c r="FL39" s="34" t="e">
        <f>AND(#REF!,"AAAAAHfd/qc=")</f>
        <v>#REF!</v>
      </c>
      <c r="FM39" s="34" t="e">
        <f>AND(#REF!,"AAAAAHfd/qg=")</f>
        <v>#REF!</v>
      </c>
      <c r="FN39" s="34" t="e">
        <f>AND(#REF!,"AAAAAHfd/qk=")</f>
        <v>#REF!</v>
      </c>
      <c r="FO39" s="34" t="e">
        <f>AND(#REF!,"AAAAAHfd/qo=")</f>
        <v>#REF!</v>
      </c>
      <c r="FP39" s="34" t="e">
        <f>AND(#REF!,"AAAAAHfd/qs=")</f>
        <v>#REF!</v>
      </c>
      <c r="FQ39" s="34" t="e">
        <f>AND(#REF!,"AAAAAHfd/qw=")</f>
        <v>#REF!</v>
      </c>
      <c r="FR39" s="34" t="e">
        <f>AND(#REF!,"AAAAAHfd/q0=")</f>
        <v>#REF!</v>
      </c>
      <c r="FS39" s="34" t="e">
        <f>AND(#REF!,"AAAAAHfd/q4=")</f>
        <v>#REF!</v>
      </c>
      <c r="FT39" s="34" t="e">
        <f>AND(#REF!,"AAAAAHfd/q8=")</f>
        <v>#REF!</v>
      </c>
      <c r="FU39" s="34" t="e">
        <f>AND(#REF!,"AAAAAHfd/rA=")</f>
        <v>#REF!</v>
      </c>
      <c r="FV39" s="34" t="e">
        <f>AND(#REF!,"AAAAAHfd/rE=")</f>
        <v>#REF!</v>
      </c>
      <c r="FW39" s="34" t="e">
        <f>AND(#REF!,"AAAAAHfd/rI=")</f>
        <v>#REF!</v>
      </c>
      <c r="FX39" s="34" t="e">
        <f>AND(#REF!,"AAAAAHfd/rM=")</f>
        <v>#REF!</v>
      </c>
      <c r="FY39" s="34" t="e">
        <f>AND(#REF!,"AAAAAHfd/rQ=")</f>
        <v>#REF!</v>
      </c>
      <c r="FZ39" s="34" t="e">
        <f>AND(#REF!,"AAAAAHfd/rU=")</f>
        <v>#REF!</v>
      </c>
      <c r="GA39" s="34" t="e">
        <f>AND(#REF!,"AAAAAHfd/rY=")</f>
        <v>#REF!</v>
      </c>
      <c r="GB39" s="34" t="e">
        <f>AND(#REF!,"AAAAAHfd/rc=")</f>
        <v>#REF!</v>
      </c>
      <c r="GC39" s="34" t="e">
        <f>AND(#REF!,"AAAAAHfd/rg=")</f>
        <v>#REF!</v>
      </c>
      <c r="GD39" s="34" t="e">
        <f>AND(#REF!,"AAAAAHfd/rk=")</f>
        <v>#REF!</v>
      </c>
      <c r="GE39" s="34" t="e">
        <f>AND(#REF!,"AAAAAHfd/ro=")</f>
        <v>#REF!</v>
      </c>
      <c r="GF39" s="34" t="e">
        <f>AND(#REF!,"AAAAAHfd/rs=")</f>
        <v>#REF!</v>
      </c>
      <c r="GG39" s="34" t="e">
        <f>AND(#REF!,"AAAAAHfd/rw=")</f>
        <v>#REF!</v>
      </c>
      <c r="GH39" s="34" t="e">
        <f>AND(#REF!,"AAAAAHfd/r0=")</f>
        <v>#REF!</v>
      </c>
      <c r="GI39" s="34" t="e">
        <f>AND(#REF!,"AAAAAHfd/r4=")</f>
        <v>#REF!</v>
      </c>
      <c r="GJ39" s="34" t="e">
        <f>AND(#REF!,"AAAAAHfd/r8=")</f>
        <v>#REF!</v>
      </c>
      <c r="GK39" s="34" t="e">
        <f>AND(#REF!,"AAAAAHfd/sA=")</f>
        <v>#REF!</v>
      </c>
      <c r="GL39" s="34" t="e">
        <f>AND(#REF!,"AAAAAHfd/sE=")</f>
        <v>#REF!</v>
      </c>
      <c r="GM39" s="34" t="e">
        <f>AND(#REF!,"AAAAAHfd/sI=")</f>
        <v>#REF!</v>
      </c>
      <c r="GN39" s="34" t="e">
        <f>AND(#REF!,"AAAAAHfd/sM=")</f>
        <v>#REF!</v>
      </c>
      <c r="GO39" s="34" t="e">
        <f>AND(#REF!,"AAAAAHfd/sQ=")</f>
        <v>#REF!</v>
      </c>
      <c r="GP39" s="34" t="e">
        <f>AND(#REF!,"AAAAAHfd/sU=")</f>
        <v>#REF!</v>
      </c>
      <c r="GQ39" s="34" t="e">
        <f>AND(#REF!,"AAAAAHfd/sY=")</f>
        <v>#REF!</v>
      </c>
      <c r="GR39" s="34" t="e">
        <f>AND(#REF!,"AAAAAHfd/sc=")</f>
        <v>#REF!</v>
      </c>
      <c r="GS39" s="34" t="e">
        <f>AND(#REF!,"AAAAAHfd/sg=")</f>
        <v>#REF!</v>
      </c>
      <c r="GT39" s="34" t="e">
        <f>AND(#REF!,"AAAAAHfd/sk=")</f>
        <v>#REF!</v>
      </c>
      <c r="GU39" s="34" t="e">
        <f>AND(#REF!,"AAAAAHfd/so=")</f>
        <v>#REF!</v>
      </c>
      <c r="GV39" s="34" t="e">
        <f>AND(#REF!,"AAAAAHfd/ss=")</f>
        <v>#REF!</v>
      </c>
      <c r="GW39" s="34" t="e">
        <f>AND(#REF!,"AAAAAHfd/sw=")</f>
        <v>#REF!</v>
      </c>
      <c r="GX39" s="34" t="e">
        <f>AND(#REF!,"AAAAAHfd/s0=")</f>
        <v>#REF!</v>
      </c>
      <c r="GY39" s="34" t="e">
        <f>AND(#REF!,"AAAAAHfd/s4=")</f>
        <v>#REF!</v>
      </c>
      <c r="GZ39" s="34" t="e">
        <f>AND(#REF!,"AAAAAHfd/s8=")</f>
        <v>#REF!</v>
      </c>
      <c r="HA39" s="34" t="e">
        <f>AND(#REF!,"AAAAAHfd/tA=")</f>
        <v>#REF!</v>
      </c>
      <c r="HB39" s="34" t="e">
        <f>AND(#REF!,"AAAAAHfd/tE=")</f>
        <v>#REF!</v>
      </c>
      <c r="HC39" s="34" t="e">
        <f>AND(#REF!,"AAAAAHfd/tI=")</f>
        <v>#REF!</v>
      </c>
      <c r="HD39" s="34" t="e">
        <f>AND(#REF!,"AAAAAHfd/tM=")</f>
        <v>#REF!</v>
      </c>
      <c r="HE39" s="34" t="e">
        <f>AND(#REF!,"AAAAAHfd/tQ=")</f>
        <v>#REF!</v>
      </c>
      <c r="HF39" s="34" t="e">
        <f>AND(#REF!,"AAAAAHfd/tU=")</f>
        <v>#REF!</v>
      </c>
      <c r="HG39" s="34" t="e">
        <f>AND(#REF!,"AAAAAHfd/tY=")</f>
        <v>#REF!</v>
      </c>
      <c r="HH39" s="34" t="e">
        <f>AND(#REF!,"AAAAAHfd/tc=")</f>
        <v>#REF!</v>
      </c>
      <c r="HI39" s="34" t="e">
        <f>AND(#REF!,"AAAAAHfd/tg=")</f>
        <v>#REF!</v>
      </c>
      <c r="HJ39" s="34" t="e">
        <f>AND(#REF!,"AAAAAHfd/tk=")</f>
        <v>#REF!</v>
      </c>
      <c r="HK39" s="34" t="e">
        <f>AND(#REF!,"AAAAAHfd/to=")</f>
        <v>#REF!</v>
      </c>
      <c r="HL39" s="34" t="e">
        <f>AND(#REF!,"AAAAAHfd/ts=")</f>
        <v>#REF!</v>
      </c>
      <c r="HM39" s="34" t="e">
        <f>AND(#REF!,"AAAAAHfd/tw=")</f>
        <v>#REF!</v>
      </c>
      <c r="HN39" s="34" t="e">
        <f>AND(#REF!,"AAAAAHfd/t0=")</f>
        <v>#REF!</v>
      </c>
      <c r="HO39" s="34" t="e">
        <f>AND(#REF!,"AAAAAHfd/t4=")</f>
        <v>#REF!</v>
      </c>
      <c r="HP39" s="34" t="e">
        <f>AND(#REF!,"AAAAAHfd/t8=")</f>
        <v>#REF!</v>
      </c>
      <c r="HQ39" s="34" t="e">
        <f>AND(#REF!,"AAAAAHfd/uA=")</f>
        <v>#REF!</v>
      </c>
      <c r="HR39" s="34" t="e">
        <f>IF(#REF!,"AAAAAHfd/uE=",0)</f>
        <v>#REF!</v>
      </c>
      <c r="HS39" s="34" t="e">
        <f>AND(#REF!,"AAAAAHfd/uI=")</f>
        <v>#REF!</v>
      </c>
      <c r="HT39" s="34" t="e">
        <f>AND(#REF!,"AAAAAHfd/uM=")</f>
        <v>#REF!</v>
      </c>
      <c r="HU39" s="34" t="e">
        <f>AND(#REF!,"AAAAAHfd/uQ=")</f>
        <v>#REF!</v>
      </c>
      <c r="HV39" s="34" t="e">
        <f>AND(#REF!,"AAAAAHfd/uU=")</f>
        <v>#REF!</v>
      </c>
      <c r="HW39" s="34" t="e">
        <f>AND(#REF!,"AAAAAHfd/uY=")</f>
        <v>#REF!</v>
      </c>
      <c r="HX39" s="34" t="e">
        <f>AND(#REF!,"AAAAAHfd/uc=")</f>
        <v>#REF!</v>
      </c>
      <c r="HY39" s="34" t="e">
        <f>AND(#REF!,"AAAAAHfd/ug=")</f>
        <v>#REF!</v>
      </c>
      <c r="HZ39" s="34" t="e">
        <f>AND(#REF!,"AAAAAHfd/uk=")</f>
        <v>#REF!</v>
      </c>
      <c r="IA39" s="34" t="e">
        <f>AND(#REF!,"AAAAAHfd/uo=")</f>
        <v>#REF!</v>
      </c>
      <c r="IB39" s="34" t="e">
        <f>AND(#REF!,"AAAAAHfd/us=")</f>
        <v>#REF!</v>
      </c>
      <c r="IC39" s="34" t="e">
        <f>AND(#REF!,"AAAAAHfd/uw=")</f>
        <v>#REF!</v>
      </c>
      <c r="ID39" s="34" t="e">
        <f>AND(#REF!,"AAAAAHfd/u0=")</f>
        <v>#REF!</v>
      </c>
      <c r="IE39" s="34" t="e">
        <f>AND(#REF!,"AAAAAHfd/u4=")</f>
        <v>#REF!</v>
      </c>
      <c r="IF39" s="34" t="e">
        <f>AND(#REF!,"AAAAAHfd/u8=")</f>
        <v>#REF!</v>
      </c>
      <c r="IG39" s="34" t="e">
        <f>AND(#REF!,"AAAAAHfd/vA=")</f>
        <v>#REF!</v>
      </c>
      <c r="IH39" s="34" t="e">
        <f>AND(#REF!,"AAAAAHfd/vE=")</f>
        <v>#REF!</v>
      </c>
      <c r="II39" s="34" t="e">
        <f>AND(#REF!,"AAAAAHfd/vI=")</f>
        <v>#REF!</v>
      </c>
      <c r="IJ39" s="34" t="e">
        <f>AND(#REF!,"AAAAAHfd/vM=")</f>
        <v>#REF!</v>
      </c>
      <c r="IK39" s="34" t="e">
        <f>AND(#REF!,"AAAAAHfd/vQ=")</f>
        <v>#REF!</v>
      </c>
      <c r="IL39" s="34" t="e">
        <f>AND(#REF!,"AAAAAHfd/vU=")</f>
        <v>#REF!</v>
      </c>
      <c r="IM39" s="34" t="e">
        <f>AND(#REF!,"AAAAAHfd/vY=")</f>
        <v>#REF!</v>
      </c>
      <c r="IN39" s="34" t="e">
        <f>AND(#REF!,"AAAAAHfd/vc=")</f>
        <v>#REF!</v>
      </c>
      <c r="IO39" s="34" t="e">
        <f>AND(#REF!,"AAAAAHfd/vg=")</f>
        <v>#REF!</v>
      </c>
      <c r="IP39" s="34" t="e">
        <f>AND(#REF!,"AAAAAHfd/vk=")</f>
        <v>#REF!</v>
      </c>
      <c r="IQ39" s="34" t="e">
        <f>AND(#REF!,"AAAAAHfd/vo=")</f>
        <v>#REF!</v>
      </c>
      <c r="IR39" s="34" t="e">
        <f>AND(#REF!,"AAAAAHfd/vs=")</f>
        <v>#REF!</v>
      </c>
      <c r="IS39" s="34" t="e">
        <f>AND(#REF!,"AAAAAHfd/vw=")</f>
        <v>#REF!</v>
      </c>
      <c r="IT39" s="34" t="e">
        <f>AND(#REF!,"AAAAAHfd/v0=")</f>
        <v>#REF!</v>
      </c>
      <c r="IU39" s="34" t="e">
        <f>AND(#REF!,"AAAAAHfd/v4=")</f>
        <v>#REF!</v>
      </c>
      <c r="IV39" s="34" t="e">
        <f>AND(#REF!,"AAAAAHfd/v8=")</f>
        <v>#REF!</v>
      </c>
    </row>
    <row r="40" spans="1:256" ht="12.75" customHeight="1" x14ac:dyDescent="0.2">
      <c r="A40" s="34" t="e">
        <f>AND(#REF!,"AAAAAHt/fwA=")</f>
        <v>#REF!</v>
      </c>
      <c r="B40" s="34" t="e">
        <f>AND(#REF!,"AAAAAHt/fwE=")</f>
        <v>#REF!</v>
      </c>
      <c r="C40" s="34" t="e">
        <f>AND(#REF!,"AAAAAHt/fwI=")</f>
        <v>#REF!</v>
      </c>
      <c r="D40" s="34" t="e">
        <f>AND(#REF!,"AAAAAHt/fwM=")</f>
        <v>#REF!</v>
      </c>
      <c r="E40" s="34" t="e">
        <f>AND(#REF!,"AAAAAHt/fwQ=")</f>
        <v>#REF!</v>
      </c>
      <c r="F40" s="34" t="e">
        <f>AND(#REF!,"AAAAAHt/fwU=")</f>
        <v>#REF!</v>
      </c>
      <c r="G40" s="34" t="e">
        <f>AND(#REF!,"AAAAAHt/fwY=")</f>
        <v>#REF!</v>
      </c>
      <c r="H40" s="34" t="e">
        <f>AND(#REF!,"AAAAAHt/fwc=")</f>
        <v>#REF!</v>
      </c>
      <c r="I40" s="34" t="e">
        <f>AND(#REF!,"AAAAAHt/fwg=")</f>
        <v>#REF!</v>
      </c>
      <c r="J40" s="34" t="e">
        <f>AND(#REF!,"AAAAAHt/fwk=")</f>
        <v>#REF!</v>
      </c>
      <c r="K40" s="34" t="e">
        <f>AND(#REF!,"AAAAAHt/fwo=")</f>
        <v>#REF!</v>
      </c>
      <c r="L40" s="34" t="e">
        <f>AND(#REF!,"AAAAAHt/fws=")</f>
        <v>#REF!</v>
      </c>
      <c r="M40" s="34" t="e">
        <f>AND(#REF!,"AAAAAHt/fww=")</f>
        <v>#REF!</v>
      </c>
      <c r="N40" s="34" t="e">
        <f>AND(#REF!,"AAAAAHt/fw0=")</f>
        <v>#REF!</v>
      </c>
      <c r="O40" s="34" t="e">
        <f>AND(#REF!,"AAAAAHt/fw4=")</f>
        <v>#REF!</v>
      </c>
      <c r="P40" s="34" t="e">
        <f>AND(#REF!,"AAAAAHt/fw8=")</f>
        <v>#REF!</v>
      </c>
      <c r="Q40" s="34" t="e">
        <f>AND(#REF!,"AAAAAHt/fxA=")</f>
        <v>#REF!</v>
      </c>
      <c r="R40" s="34" t="e">
        <f>AND(#REF!,"AAAAAHt/fxE=")</f>
        <v>#REF!</v>
      </c>
      <c r="S40" s="34" t="e">
        <f>AND(#REF!,"AAAAAHt/fxI=")</f>
        <v>#REF!</v>
      </c>
      <c r="T40" s="34" t="e">
        <f>AND(#REF!,"AAAAAHt/fxM=")</f>
        <v>#REF!</v>
      </c>
      <c r="U40" s="34" t="e">
        <f>AND(#REF!,"AAAAAHt/fxQ=")</f>
        <v>#REF!</v>
      </c>
      <c r="V40" s="34" t="e">
        <f>AND(#REF!,"AAAAAHt/fxU=")</f>
        <v>#REF!</v>
      </c>
      <c r="W40" s="34" t="e">
        <f>AND(#REF!,"AAAAAHt/fxY=")</f>
        <v>#REF!</v>
      </c>
      <c r="X40" s="34" t="e">
        <f>AND(#REF!,"AAAAAHt/fxc=")</f>
        <v>#REF!</v>
      </c>
      <c r="Y40" s="34" t="e">
        <f>AND(#REF!,"AAAAAHt/fxg=")</f>
        <v>#REF!</v>
      </c>
      <c r="Z40" s="34" t="e">
        <f>AND(#REF!,"AAAAAHt/fxk=")</f>
        <v>#REF!</v>
      </c>
      <c r="AA40" s="34" t="e">
        <f>AND(#REF!,"AAAAAHt/fxo=")</f>
        <v>#REF!</v>
      </c>
      <c r="AB40" s="34" t="e">
        <f>AND(#REF!,"AAAAAHt/fxs=")</f>
        <v>#REF!</v>
      </c>
      <c r="AC40" s="34" t="e">
        <f>AND(#REF!,"AAAAAHt/fxw=")</f>
        <v>#REF!</v>
      </c>
      <c r="AD40" s="34" t="e">
        <f>AND(#REF!,"AAAAAHt/fx0=")</f>
        <v>#REF!</v>
      </c>
      <c r="AE40" s="34" t="e">
        <f>AND(#REF!,"AAAAAHt/fx4=")</f>
        <v>#REF!</v>
      </c>
      <c r="AF40" s="34" t="e">
        <f>AND(#REF!,"AAAAAHt/fx8=")</f>
        <v>#REF!</v>
      </c>
      <c r="AG40" s="34" t="e">
        <f>AND(#REF!,"AAAAAHt/fyA=")</f>
        <v>#REF!</v>
      </c>
      <c r="AH40" s="34" t="e">
        <f>AND(#REF!,"AAAAAHt/fyE=")</f>
        <v>#REF!</v>
      </c>
      <c r="AI40" s="34" t="e">
        <f>AND(#REF!,"AAAAAHt/fyI=")</f>
        <v>#REF!</v>
      </c>
      <c r="AJ40" s="34" t="e">
        <f>AND(#REF!,"AAAAAHt/fyM=")</f>
        <v>#REF!</v>
      </c>
      <c r="AK40" s="34" t="e">
        <f>AND(#REF!,"AAAAAHt/fyQ=")</f>
        <v>#REF!</v>
      </c>
      <c r="AL40" s="34" t="e">
        <f>AND(#REF!,"AAAAAHt/fyU=")</f>
        <v>#REF!</v>
      </c>
      <c r="AM40" s="34" t="e">
        <f>AND(#REF!,"AAAAAHt/fyY=")</f>
        <v>#REF!</v>
      </c>
      <c r="AN40" s="34" t="e">
        <f>AND(#REF!,"AAAAAHt/fyc=")</f>
        <v>#REF!</v>
      </c>
      <c r="AO40" s="34" t="e">
        <f>AND(#REF!,"AAAAAHt/fyg=")</f>
        <v>#REF!</v>
      </c>
      <c r="AP40" s="34" t="e">
        <f>AND(#REF!,"AAAAAHt/fyk=")</f>
        <v>#REF!</v>
      </c>
      <c r="AQ40" s="34" t="e">
        <f>IF(#REF!,"AAAAAHt/fyo=",0)</f>
        <v>#REF!</v>
      </c>
      <c r="AR40" s="34" t="e">
        <f>AND(#REF!,"AAAAAHt/fys=")</f>
        <v>#REF!</v>
      </c>
      <c r="AS40" s="34" t="e">
        <f>AND(#REF!,"AAAAAHt/fyw=")</f>
        <v>#REF!</v>
      </c>
      <c r="AT40" s="34" t="e">
        <f>AND(#REF!,"AAAAAHt/fy0=")</f>
        <v>#REF!</v>
      </c>
      <c r="AU40" s="34" t="e">
        <f>AND(#REF!,"AAAAAHt/fy4=")</f>
        <v>#REF!</v>
      </c>
      <c r="AV40" s="34" t="e">
        <f>AND(#REF!,"AAAAAHt/fy8=")</f>
        <v>#REF!</v>
      </c>
      <c r="AW40" s="34" t="e">
        <f>AND(#REF!,"AAAAAHt/fzA=")</f>
        <v>#REF!</v>
      </c>
      <c r="AX40" s="34" t="e">
        <f>AND(#REF!,"AAAAAHt/fzE=")</f>
        <v>#REF!</v>
      </c>
      <c r="AY40" s="34" t="e">
        <f>AND(#REF!,"AAAAAHt/fzI=")</f>
        <v>#REF!</v>
      </c>
      <c r="AZ40" s="34" t="e">
        <f>AND(#REF!,"AAAAAHt/fzM=")</f>
        <v>#REF!</v>
      </c>
      <c r="BA40" s="34" t="e">
        <f>AND(#REF!,"AAAAAHt/fzQ=")</f>
        <v>#REF!</v>
      </c>
      <c r="BB40" s="34" t="e">
        <f>AND(#REF!,"AAAAAHt/fzU=")</f>
        <v>#REF!</v>
      </c>
      <c r="BC40" s="34" t="e">
        <f>AND(#REF!,"AAAAAHt/fzY=")</f>
        <v>#REF!</v>
      </c>
      <c r="BD40" s="34" t="e">
        <f>AND(#REF!,"AAAAAHt/fzc=")</f>
        <v>#REF!</v>
      </c>
      <c r="BE40" s="34" t="e">
        <f>AND(#REF!,"AAAAAHt/fzg=")</f>
        <v>#REF!</v>
      </c>
      <c r="BF40" s="34" t="e">
        <f>AND(#REF!,"AAAAAHt/fzk=")</f>
        <v>#REF!</v>
      </c>
      <c r="BG40" s="34" t="e">
        <f>AND(#REF!,"AAAAAHt/fzo=")</f>
        <v>#REF!</v>
      </c>
      <c r="BH40" s="34" t="e">
        <f>AND(#REF!,"AAAAAHt/fzs=")</f>
        <v>#REF!</v>
      </c>
      <c r="BI40" s="34" t="e">
        <f>AND(#REF!,"AAAAAHt/fzw=")</f>
        <v>#REF!</v>
      </c>
      <c r="BJ40" s="34" t="e">
        <f>AND(#REF!,"AAAAAHt/fz0=")</f>
        <v>#REF!</v>
      </c>
      <c r="BK40" s="34" t="e">
        <f>AND(#REF!,"AAAAAHt/fz4=")</f>
        <v>#REF!</v>
      </c>
      <c r="BL40" s="34" t="e">
        <f>AND(#REF!,"AAAAAHt/fz8=")</f>
        <v>#REF!</v>
      </c>
      <c r="BM40" s="34" t="e">
        <f>AND(#REF!,"AAAAAHt/f0A=")</f>
        <v>#REF!</v>
      </c>
      <c r="BN40" s="34" t="e">
        <f>AND(#REF!,"AAAAAHt/f0E=")</f>
        <v>#REF!</v>
      </c>
      <c r="BO40" s="34" t="e">
        <f>AND(#REF!,"AAAAAHt/f0I=")</f>
        <v>#REF!</v>
      </c>
      <c r="BP40" s="34" t="e">
        <f>AND(#REF!,"AAAAAHt/f0M=")</f>
        <v>#REF!</v>
      </c>
      <c r="BQ40" s="34" t="e">
        <f>AND(#REF!,"AAAAAHt/f0Q=")</f>
        <v>#REF!</v>
      </c>
      <c r="BR40" s="34" t="e">
        <f>AND(#REF!,"AAAAAHt/f0U=")</f>
        <v>#REF!</v>
      </c>
      <c r="BS40" s="34" t="e">
        <f>AND(#REF!,"AAAAAHt/f0Y=")</f>
        <v>#REF!</v>
      </c>
      <c r="BT40" s="34" t="e">
        <f>AND(#REF!,"AAAAAHt/f0c=")</f>
        <v>#REF!</v>
      </c>
      <c r="BU40" s="34" t="e">
        <f>AND(#REF!,"AAAAAHt/f0g=")</f>
        <v>#REF!</v>
      </c>
      <c r="BV40" s="34" t="e">
        <f>AND(#REF!,"AAAAAHt/f0k=")</f>
        <v>#REF!</v>
      </c>
      <c r="BW40" s="34" t="e">
        <f>AND(#REF!,"AAAAAHt/f0o=")</f>
        <v>#REF!</v>
      </c>
      <c r="BX40" s="34" t="e">
        <f>AND(#REF!,"AAAAAHt/f0s=")</f>
        <v>#REF!</v>
      </c>
      <c r="BY40" s="34" t="e">
        <f>AND(#REF!,"AAAAAHt/f0w=")</f>
        <v>#REF!</v>
      </c>
      <c r="BZ40" s="34" t="e">
        <f>AND(#REF!,"AAAAAHt/f00=")</f>
        <v>#REF!</v>
      </c>
      <c r="CA40" s="34" t="e">
        <f>AND(#REF!,"AAAAAHt/f04=")</f>
        <v>#REF!</v>
      </c>
      <c r="CB40" s="34" t="e">
        <f>AND(#REF!,"AAAAAHt/f08=")</f>
        <v>#REF!</v>
      </c>
      <c r="CC40" s="34" t="e">
        <f>AND(#REF!,"AAAAAHt/f1A=")</f>
        <v>#REF!</v>
      </c>
      <c r="CD40" s="34" t="e">
        <f>AND(#REF!,"AAAAAHt/f1E=")</f>
        <v>#REF!</v>
      </c>
      <c r="CE40" s="34" t="e">
        <f>AND(#REF!,"AAAAAHt/f1I=")</f>
        <v>#REF!</v>
      </c>
      <c r="CF40" s="34" t="e">
        <f>AND(#REF!,"AAAAAHt/f1M=")</f>
        <v>#REF!</v>
      </c>
      <c r="CG40" s="34" t="e">
        <f>AND(#REF!,"AAAAAHt/f1Q=")</f>
        <v>#REF!</v>
      </c>
      <c r="CH40" s="34" t="e">
        <f>AND(#REF!,"AAAAAHt/f1U=")</f>
        <v>#REF!</v>
      </c>
      <c r="CI40" s="34" t="e">
        <f>AND(#REF!,"AAAAAHt/f1Y=")</f>
        <v>#REF!</v>
      </c>
      <c r="CJ40" s="34" t="e">
        <f>AND(#REF!,"AAAAAHt/f1c=")</f>
        <v>#REF!</v>
      </c>
      <c r="CK40" s="34" t="e">
        <f>AND(#REF!,"AAAAAHt/f1g=")</f>
        <v>#REF!</v>
      </c>
      <c r="CL40" s="34" t="e">
        <f>AND(#REF!,"AAAAAHt/f1k=")</f>
        <v>#REF!</v>
      </c>
      <c r="CM40" s="34" t="e">
        <f>AND(#REF!,"AAAAAHt/f1o=")</f>
        <v>#REF!</v>
      </c>
      <c r="CN40" s="34" t="e">
        <f>AND(#REF!,"AAAAAHt/f1s=")</f>
        <v>#REF!</v>
      </c>
      <c r="CO40" s="34" t="e">
        <f>AND(#REF!,"AAAAAHt/f1w=")</f>
        <v>#REF!</v>
      </c>
      <c r="CP40" s="34" t="e">
        <f>AND(#REF!,"AAAAAHt/f10=")</f>
        <v>#REF!</v>
      </c>
      <c r="CQ40" s="34" t="e">
        <f>AND(#REF!,"AAAAAHt/f14=")</f>
        <v>#REF!</v>
      </c>
      <c r="CR40" s="34" t="e">
        <f>AND(#REF!,"AAAAAHt/f18=")</f>
        <v>#REF!</v>
      </c>
      <c r="CS40" s="34" t="e">
        <f>AND(#REF!,"AAAAAHt/f2A=")</f>
        <v>#REF!</v>
      </c>
      <c r="CT40" s="34" t="e">
        <f>AND(#REF!,"AAAAAHt/f2E=")</f>
        <v>#REF!</v>
      </c>
      <c r="CU40" s="34" t="e">
        <f>AND(#REF!,"AAAAAHt/f2I=")</f>
        <v>#REF!</v>
      </c>
      <c r="CV40" s="34" t="e">
        <f>AND(#REF!,"AAAAAHt/f2M=")</f>
        <v>#REF!</v>
      </c>
      <c r="CW40" s="34" t="e">
        <f>AND(#REF!,"AAAAAHt/f2Q=")</f>
        <v>#REF!</v>
      </c>
      <c r="CX40" s="34" t="e">
        <f>AND(#REF!,"AAAAAHt/f2U=")</f>
        <v>#REF!</v>
      </c>
      <c r="CY40" s="34" t="e">
        <f>AND(#REF!,"AAAAAHt/f2Y=")</f>
        <v>#REF!</v>
      </c>
      <c r="CZ40" s="34" t="e">
        <f>AND(#REF!,"AAAAAHt/f2c=")</f>
        <v>#REF!</v>
      </c>
      <c r="DA40" s="34" t="e">
        <f>AND(#REF!,"AAAAAHt/f2g=")</f>
        <v>#REF!</v>
      </c>
      <c r="DB40" s="34" t="e">
        <f>AND(#REF!,"AAAAAHt/f2k=")</f>
        <v>#REF!</v>
      </c>
      <c r="DC40" s="34" t="e">
        <f>AND(#REF!,"AAAAAHt/f2o=")</f>
        <v>#REF!</v>
      </c>
      <c r="DD40" s="34" t="e">
        <f>AND(#REF!,"AAAAAHt/f2s=")</f>
        <v>#REF!</v>
      </c>
      <c r="DE40" s="34" t="e">
        <f>AND(#REF!,"AAAAAHt/f2w=")</f>
        <v>#REF!</v>
      </c>
      <c r="DF40" s="34" t="e">
        <f>AND(#REF!,"AAAAAHt/f20=")</f>
        <v>#REF!</v>
      </c>
      <c r="DG40" s="34" t="e">
        <f>AND(#REF!,"AAAAAHt/f24=")</f>
        <v>#REF!</v>
      </c>
      <c r="DH40" s="34" t="e">
        <f>AND(#REF!,"AAAAAHt/f28=")</f>
        <v>#REF!</v>
      </c>
      <c r="DI40" s="34" t="e">
        <f>AND(#REF!,"AAAAAHt/f3A=")</f>
        <v>#REF!</v>
      </c>
      <c r="DJ40" s="34" t="e">
        <f>AND(#REF!,"AAAAAHt/f3E=")</f>
        <v>#REF!</v>
      </c>
      <c r="DK40" s="34" t="e">
        <f>AND(#REF!,"AAAAAHt/f3I=")</f>
        <v>#REF!</v>
      </c>
      <c r="DL40" s="34" t="e">
        <f>IF(#REF!,"AAAAAHt/f3M=",0)</f>
        <v>#REF!</v>
      </c>
      <c r="DM40" s="34" t="e">
        <f>AND(#REF!,"AAAAAHt/f3Q=")</f>
        <v>#REF!</v>
      </c>
      <c r="DN40" s="34" t="e">
        <f>AND(#REF!,"AAAAAHt/f3U=")</f>
        <v>#REF!</v>
      </c>
      <c r="DO40" s="34" t="e">
        <f>AND(#REF!,"AAAAAHt/f3Y=")</f>
        <v>#REF!</v>
      </c>
      <c r="DP40" s="34" t="e">
        <f>AND(#REF!,"AAAAAHt/f3c=")</f>
        <v>#REF!</v>
      </c>
      <c r="DQ40" s="34" t="e">
        <f>AND(#REF!,"AAAAAHt/f3g=")</f>
        <v>#REF!</v>
      </c>
      <c r="DR40" s="34" t="e">
        <f>AND(#REF!,"AAAAAHt/f3k=")</f>
        <v>#REF!</v>
      </c>
      <c r="DS40" s="34" t="e">
        <f>AND(#REF!,"AAAAAHt/f3o=")</f>
        <v>#REF!</v>
      </c>
      <c r="DT40" s="34" t="e">
        <f>AND(#REF!,"AAAAAHt/f3s=")</f>
        <v>#REF!</v>
      </c>
      <c r="DU40" s="34" t="e">
        <f>AND(#REF!,"AAAAAHt/f3w=")</f>
        <v>#REF!</v>
      </c>
      <c r="DV40" s="34" t="e">
        <f>AND(#REF!,"AAAAAHt/f30=")</f>
        <v>#REF!</v>
      </c>
      <c r="DW40" s="34" t="e">
        <f>AND(#REF!,"AAAAAHt/f34=")</f>
        <v>#REF!</v>
      </c>
      <c r="DX40" s="34" t="e">
        <f>AND(#REF!,"AAAAAHt/f38=")</f>
        <v>#REF!</v>
      </c>
      <c r="DY40" s="34" t="e">
        <f>AND(#REF!,"AAAAAHt/f4A=")</f>
        <v>#REF!</v>
      </c>
      <c r="DZ40" s="34" t="e">
        <f>AND(#REF!,"AAAAAHt/f4E=")</f>
        <v>#REF!</v>
      </c>
      <c r="EA40" s="34" t="e">
        <f>AND(#REF!,"AAAAAHt/f4I=")</f>
        <v>#REF!</v>
      </c>
      <c r="EB40" s="34" t="e">
        <f>AND(#REF!,"AAAAAHt/f4M=")</f>
        <v>#REF!</v>
      </c>
      <c r="EC40" s="34" t="e">
        <f>AND(#REF!,"AAAAAHt/f4Q=")</f>
        <v>#REF!</v>
      </c>
      <c r="ED40" s="34" t="e">
        <f>AND(#REF!,"AAAAAHt/f4U=")</f>
        <v>#REF!</v>
      </c>
      <c r="EE40" s="34" t="e">
        <f>AND(#REF!,"AAAAAHt/f4Y=")</f>
        <v>#REF!</v>
      </c>
      <c r="EF40" s="34" t="e">
        <f>AND(#REF!,"AAAAAHt/f4c=")</f>
        <v>#REF!</v>
      </c>
      <c r="EG40" s="34" t="e">
        <f>AND(#REF!,"AAAAAHt/f4g=")</f>
        <v>#REF!</v>
      </c>
      <c r="EH40" s="34" t="e">
        <f>AND(#REF!,"AAAAAHt/f4k=")</f>
        <v>#REF!</v>
      </c>
      <c r="EI40" s="34" t="e">
        <f>AND(#REF!,"AAAAAHt/f4o=")</f>
        <v>#REF!</v>
      </c>
      <c r="EJ40" s="34" t="e">
        <f>AND(#REF!,"AAAAAHt/f4s=")</f>
        <v>#REF!</v>
      </c>
      <c r="EK40" s="34" t="e">
        <f>AND(#REF!,"AAAAAHt/f4w=")</f>
        <v>#REF!</v>
      </c>
      <c r="EL40" s="34" t="e">
        <f>AND(#REF!,"AAAAAHt/f40=")</f>
        <v>#REF!</v>
      </c>
      <c r="EM40" s="34" t="e">
        <f>AND(#REF!,"AAAAAHt/f44=")</f>
        <v>#REF!</v>
      </c>
      <c r="EN40" s="34" t="e">
        <f>AND(#REF!,"AAAAAHt/f48=")</f>
        <v>#REF!</v>
      </c>
      <c r="EO40" s="34" t="e">
        <f>AND(#REF!,"AAAAAHt/f5A=")</f>
        <v>#REF!</v>
      </c>
      <c r="EP40" s="34" t="e">
        <f>AND(#REF!,"AAAAAHt/f5E=")</f>
        <v>#REF!</v>
      </c>
      <c r="EQ40" s="34" t="e">
        <f>AND(#REF!,"AAAAAHt/f5I=")</f>
        <v>#REF!</v>
      </c>
      <c r="ER40" s="34" t="e">
        <f>AND(#REF!,"AAAAAHt/f5M=")</f>
        <v>#REF!</v>
      </c>
      <c r="ES40" s="34" t="e">
        <f>AND(#REF!,"AAAAAHt/f5Q=")</f>
        <v>#REF!</v>
      </c>
      <c r="ET40" s="34" t="e">
        <f>AND(#REF!,"AAAAAHt/f5U=")</f>
        <v>#REF!</v>
      </c>
      <c r="EU40" s="34" t="e">
        <f>AND(#REF!,"AAAAAHt/f5Y=")</f>
        <v>#REF!</v>
      </c>
      <c r="EV40" s="34" t="e">
        <f>AND(#REF!,"AAAAAHt/f5c=")</f>
        <v>#REF!</v>
      </c>
      <c r="EW40" s="34" t="e">
        <f>AND(#REF!,"AAAAAHt/f5g=")</f>
        <v>#REF!</v>
      </c>
      <c r="EX40" s="34" t="e">
        <f>AND(#REF!,"AAAAAHt/f5k=")</f>
        <v>#REF!</v>
      </c>
      <c r="EY40" s="34" t="e">
        <f>AND(#REF!,"AAAAAHt/f5o=")</f>
        <v>#REF!</v>
      </c>
      <c r="EZ40" s="34" t="e">
        <f>AND(#REF!,"AAAAAHt/f5s=")</f>
        <v>#REF!</v>
      </c>
      <c r="FA40" s="34" t="e">
        <f>AND(#REF!,"AAAAAHt/f5w=")</f>
        <v>#REF!</v>
      </c>
      <c r="FB40" s="34" t="e">
        <f>AND(#REF!,"AAAAAHt/f50=")</f>
        <v>#REF!</v>
      </c>
      <c r="FC40" s="34" t="e">
        <f>AND(#REF!,"AAAAAHt/f54=")</f>
        <v>#REF!</v>
      </c>
      <c r="FD40" s="34" t="e">
        <f>AND(#REF!,"AAAAAHt/f58=")</f>
        <v>#REF!</v>
      </c>
      <c r="FE40" s="34" t="e">
        <f>AND(#REF!,"AAAAAHt/f6A=")</f>
        <v>#REF!</v>
      </c>
      <c r="FF40" s="34" t="e">
        <f>AND(#REF!,"AAAAAHt/f6E=")</f>
        <v>#REF!</v>
      </c>
      <c r="FG40" s="34" t="e">
        <f>AND(#REF!,"AAAAAHt/f6I=")</f>
        <v>#REF!</v>
      </c>
      <c r="FH40" s="34" t="e">
        <f>AND(#REF!,"AAAAAHt/f6M=")</f>
        <v>#REF!</v>
      </c>
      <c r="FI40" s="34" t="e">
        <f>AND(#REF!,"AAAAAHt/f6Q=")</f>
        <v>#REF!</v>
      </c>
      <c r="FJ40" s="34" t="e">
        <f>AND(#REF!,"AAAAAHt/f6U=")</f>
        <v>#REF!</v>
      </c>
      <c r="FK40" s="34" t="e">
        <f>AND(#REF!,"AAAAAHt/f6Y=")</f>
        <v>#REF!</v>
      </c>
      <c r="FL40" s="34" t="e">
        <f>AND(#REF!,"AAAAAHt/f6c=")</f>
        <v>#REF!</v>
      </c>
      <c r="FM40" s="34" t="e">
        <f>AND(#REF!,"AAAAAHt/f6g=")</f>
        <v>#REF!</v>
      </c>
      <c r="FN40" s="34" t="e">
        <f>AND(#REF!,"AAAAAHt/f6k=")</f>
        <v>#REF!</v>
      </c>
      <c r="FO40" s="34" t="e">
        <f>AND(#REF!,"AAAAAHt/f6o=")</f>
        <v>#REF!</v>
      </c>
      <c r="FP40" s="34" t="e">
        <f>AND(#REF!,"AAAAAHt/f6s=")</f>
        <v>#REF!</v>
      </c>
      <c r="FQ40" s="34" t="e">
        <f>AND(#REF!,"AAAAAHt/f6w=")</f>
        <v>#REF!</v>
      </c>
      <c r="FR40" s="34" t="e">
        <f>AND(#REF!,"AAAAAHt/f60=")</f>
        <v>#REF!</v>
      </c>
      <c r="FS40" s="34" t="e">
        <f>AND(#REF!,"AAAAAHt/f64=")</f>
        <v>#REF!</v>
      </c>
      <c r="FT40" s="34" t="e">
        <f>AND(#REF!,"AAAAAHt/f68=")</f>
        <v>#REF!</v>
      </c>
      <c r="FU40" s="34" t="e">
        <f>AND(#REF!,"AAAAAHt/f7A=")</f>
        <v>#REF!</v>
      </c>
      <c r="FV40" s="34" t="e">
        <f>AND(#REF!,"AAAAAHt/f7E=")</f>
        <v>#REF!</v>
      </c>
      <c r="FW40" s="34" t="e">
        <f>AND(#REF!,"AAAAAHt/f7I=")</f>
        <v>#REF!</v>
      </c>
      <c r="FX40" s="34" t="e">
        <f>AND(#REF!,"AAAAAHt/f7M=")</f>
        <v>#REF!</v>
      </c>
      <c r="FY40" s="34" t="e">
        <f>AND(#REF!,"AAAAAHt/f7Q=")</f>
        <v>#REF!</v>
      </c>
      <c r="FZ40" s="34" t="e">
        <f>AND(#REF!,"AAAAAHt/f7U=")</f>
        <v>#REF!</v>
      </c>
      <c r="GA40" s="34" t="e">
        <f>AND(#REF!,"AAAAAHt/f7Y=")</f>
        <v>#REF!</v>
      </c>
      <c r="GB40" s="34" t="e">
        <f>AND(#REF!,"AAAAAHt/f7c=")</f>
        <v>#REF!</v>
      </c>
      <c r="GC40" s="34" t="e">
        <f>AND(#REF!,"AAAAAHt/f7g=")</f>
        <v>#REF!</v>
      </c>
      <c r="GD40" s="34" t="e">
        <f>AND(#REF!,"AAAAAHt/f7k=")</f>
        <v>#REF!</v>
      </c>
      <c r="GE40" s="34" t="e">
        <f>AND(#REF!,"AAAAAHt/f7o=")</f>
        <v>#REF!</v>
      </c>
      <c r="GF40" s="34" t="e">
        <f>AND(#REF!,"AAAAAHt/f7s=")</f>
        <v>#REF!</v>
      </c>
      <c r="GG40" s="34" t="e">
        <f>IF(#REF!,"AAAAAHt/f7w=",0)</f>
        <v>#REF!</v>
      </c>
      <c r="GH40" s="34" t="e">
        <f>AND(#REF!,"AAAAAHt/f70=")</f>
        <v>#REF!</v>
      </c>
      <c r="GI40" s="34" t="e">
        <f>AND(#REF!,"AAAAAHt/f74=")</f>
        <v>#REF!</v>
      </c>
      <c r="GJ40" s="34" t="e">
        <f>AND(#REF!,"AAAAAHt/f78=")</f>
        <v>#REF!</v>
      </c>
      <c r="GK40" s="34" t="e">
        <f>AND(#REF!,"AAAAAHt/f8A=")</f>
        <v>#REF!</v>
      </c>
      <c r="GL40" s="34" t="e">
        <f>AND(#REF!,"AAAAAHt/f8E=")</f>
        <v>#REF!</v>
      </c>
      <c r="GM40" s="34" t="e">
        <f>AND(#REF!,"AAAAAHt/f8I=")</f>
        <v>#REF!</v>
      </c>
      <c r="GN40" s="34" t="e">
        <f>AND(#REF!,"AAAAAHt/f8M=")</f>
        <v>#REF!</v>
      </c>
      <c r="GO40" s="34" t="e">
        <f>AND(#REF!,"AAAAAHt/f8Q=")</f>
        <v>#REF!</v>
      </c>
      <c r="GP40" s="34" t="e">
        <f>AND(#REF!,"AAAAAHt/f8U=")</f>
        <v>#REF!</v>
      </c>
      <c r="GQ40" s="34" t="e">
        <f>AND(#REF!,"AAAAAHt/f8Y=")</f>
        <v>#REF!</v>
      </c>
      <c r="GR40" s="34" t="e">
        <f>AND(#REF!,"AAAAAHt/f8c=")</f>
        <v>#REF!</v>
      </c>
      <c r="GS40" s="34" t="e">
        <f>AND(#REF!,"AAAAAHt/f8g=")</f>
        <v>#REF!</v>
      </c>
      <c r="GT40" s="34" t="e">
        <f>AND(#REF!,"AAAAAHt/f8k=")</f>
        <v>#REF!</v>
      </c>
      <c r="GU40" s="34" t="e">
        <f>AND(#REF!,"AAAAAHt/f8o=")</f>
        <v>#REF!</v>
      </c>
      <c r="GV40" s="34" t="e">
        <f>AND(#REF!,"AAAAAHt/f8s=")</f>
        <v>#REF!</v>
      </c>
      <c r="GW40" s="34" t="e">
        <f>AND(#REF!,"AAAAAHt/f8w=")</f>
        <v>#REF!</v>
      </c>
      <c r="GX40" s="34" t="e">
        <f>AND(#REF!,"AAAAAHt/f80=")</f>
        <v>#REF!</v>
      </c>
      <c r="GY40" s="34" t="e">
        <f>AND(#REF!,"AAAAAHt/f84=")</f>
        <v>#REF!</v>
      </c>
      <c r="GZ40" s="34" t="e">
        <f>AND(#REF!,"AAAAAHt/f88=")</f>
        <v>#REF!</v>
      </c>
      <c r="HA40" s="34" t="e">
        <f>AND(#REF!,"AAAAAHt/f9A=")</f>
        <v>#REF!</v>
      </c>
      <c r="HB40" s="34" t="e">
        <f>AND(#REF!,"AAAAAHt/f9E=")</f>
        <v>#REF!</v>
      </c>
      <c r="HC40" s="34" t="e">
        <f>AND(#REF!,"AAAAAHt/f9I=")</f>
        <v>#REF!</v>
      </c>
      <c r="HD40" s="34" t="e">
        <f>AND(#REF!,"AAAAAHt/f9M=")</f>
        <v>#REF!</v>
      </c>
      <c r="HE40" s="34" t="e">
        <f>AND(#REF!,"AAAAAHt/f9Q=")</f>
        <v>#REF!</v>
      </c>
      <c r="HF40" s="34" t="e">
        <f>AND(#REF!,"AAAAAHt/f9U=")</f>
        <v>#REF!</v>
      </c>
      <c r="HG40" s="34" t="e">
        <f>AND(#REF!,"AAAAAHt/f9Y=")</f>
        <v>#REF!</v>
      </c>
      <c r="HH40" s="34" t="e">
        <f>AND(#REF!,"AAAAAHt/f9c=")</f>
        <v>#REF!</v>
      </c>
      <c r="HI40" s="34" t="e">
        <f>AND(#REF!,"AAAAAHt/f9g=")</f>
        <v>#REF!</v>
      </c>
      <c r="HJ40" s="34" t="e">
        <f>AND(#REF!,"AAAAAHt/f9k=")</f>
        <v>#REF!</v>
      </c>
      <c r="HK40" s="34" t="e">
        <f>AND(#REF!,"AAAAAHt/f9o=")</f>
        <v>#REF!</v>
      </c>
      <c r="HL40" s="34" t="e">
        <f>AND(#REF!,"AAAAAHt/f9s=")</f>
        <v>#REF!</v>
      </c>
      <c r="HM40" s="34" t="e">
        <f>AND(#REF!,"AAAAAHt/f9w=")</f>
        <v>#REF!</v>
      </c>
      <c r="HN40" s="34" t="e">
        <f>AND(#REF!,"AAAAAHt/f90=")</f>
        <v>#REF!</v>
      </c>
      <c r="HO40" s="34" t="e">
        <f>AND(#REF!,"AAAAAHt/f94=")</f>
        <v>#REF!</v>
      </c>
      <c r="HP40" s="34" t="e">
        <f>AND(#REF!,"AAAAAHt/f98=")</f>
        <v>#REF!</v>
      </c>
      <c r="HQ40" s="34" t="e">
        <f>AND(#REF!,"AAAAAHt/f+A=")</f>
        <v>#REF!</v>
      </c>
      <c r="HR40" s="34" t="e">
        <f>AND(#REF!,"AAAAAHt/f+E=")</f>
        <v>#REF!</v>
      </c>
      <c r="HS40" s="34" t="e">
        <f>AND(#REF!,"AAAAAHt/f+I=")</f>
        <v>#REF!</v>
      </c>
      <c r="HT40" s="34" t="e">
        <f>AND(#REF!,"AAAAAHt/f+M=")</f>
        <v>#REF!</v>
      </c>
      <c r="HU40" s="34" t="e">
        <f>AND(#REF!,"AAAAAHt/f+Q=")</f>
        <v>#REF!</v>
      </c>
      <c r="HV40" s="34" t="e">
        <f>AND(#REF!,"AAAAAHt/f+U=")</f>
        <v>#REF!</v>
      </c>
      <c r="HW40" s="34" t="e">
        <f>AND(#REF!,"AAAAAHt/f+Y=")</f>
        <v>#REF!</v>
      </c>
      <c r="HX40" s="34" t="e">
        <f>AND(#REF!,"AAAAAHt/f+c=")</f>
        <v>#REF!</v>
      </c>
      <c r="HY40" s="34" t="e">
        <f>AND(#REF!,"AAAAAHt/f+g=")</f>
        <v>#REF!</v>
      </c>
      <c r="HZ40" s="34" t="e">
        <f>AND(#REF!,"AAAAAHt/f+k=")</f>
        <v>#REF!</v>
      </c>
      <c r="IA40" s="34" t="e">
        <f>AND(#REF!,"AAAAAHt/f+o=")</f>
        <v>#REF!</v>
      </c>
      <c r="IB40" s="34" t="e">
        <f>AND(#REF!,"AAAAAHt/f+s=")</f>
        <v>#REF!</v>
      </c>
      <c r="IC40" s="34" t="e">
        <f>AND(#REF!,"AAAAAHt/f+w=")</f>
        <v>#REF!</v>
      </c>
      <c r="ID40" s="34" t="e">
        <f>AND(#REF!,"AAAAAHt/f+0=")</f>
        <v>#REF!</v>
      </c>
      <c r="IE40" s="34" t="e">
        <f>AND(#REF!,"AAAAAHt/f+4=")</f>
        <v>#REF!</v>
      </c>
      <c r="IF40" s="34" t="e">
        <f>AND(#REF!,"AAAAAHt/f+8=")</f>
        <v>#REF!</v>
      </c>
      <c r="IG40" s="34" t="e">
        <f>AND(#REF!,"AAAAAHt/f/A=")</f>
        <v>#REF!</v>
      </c>
      <c r="IH40" s="34" t="e">
        <f>AND(#REF!,"AAAAAHt/f/E=")</f>
        <v>#REF!</v>
      </c>
      <c r="II40" s="34" t="e">
        <f>AND(#REF!,"AAAAAHt/f/I=")</f>
        <v>#REF!</v>
      </c>
      <c r="IJ40" s="34" t="e">
        <f>AND(#REF!,"AAAAAHt/f/M=")</f>
        <v>#REF!</v>
      </c>
      <c r="IK40" s="34" t="e">
        <f>AND(#REF!,"AAAAAHt/f/Q=")</f>
        <v>#REF!</v>
      </c>
      <c r="IL40" s="34" t="e">
        <f>AND(#REF!,"AAAAAHt/f/U=")</f>
        <v>#REF!</v>
      </c>
      <c r="IM40" s="34" t="e">
        <f>AND(#REF!,"AAAAAHt/f/Y=")</f>
        <v>#REF!</v>
      </c>
      <c r="IN40" s="34" t="e">
        <f>AND(#REF!,"AAAAAHt/f/c=")</f>
        <v>#REF!</v>
      </c>
      <c r="IO40" s="34" t="e">
        <f>AND(#REF!,"AAAAAHt/f/g=")</f>
        <v>#REF!</v>
      </c>
      <c r="IP40" s="34" t="e">
        <f>AND(#REF!,"AAAAAHt/f/k=")</f>
        <v>#REF!</v>
      </c>
      <c r="IQ40" s="34" t="e">
        <f>AND(#REF!,"AAAAAHt/f/o=")</f>
        <v>#REF!</v>
      </c>
      <c r="IR40" s="34" t="e">
        <f>AND(#REF!,"AAAAAHt/f/s=")</f>
        <v>#REF!</v>
      </c>
      <c r="IS40" s="34" t="e">
        <f>AND(#REF!,"AAAAAHt/f/w=")</f>
        <v>#REF!</v>
      </c>
      <c r="IT40" s="34" t="e">
        <f>AND(#REF!,"AAAAAHt/f/0=")</f>
        <v>#REF!</v>
      </c>
      <c r="IU40" s="34" t="e">
        <f>AND(#REF!,"AAAAAHt/f/4=")</f>
        <v>#REF!</v>
      </c>
      <c r="IV40" s="34" t="e">
        <f>AND(#REF!,"AAAAAHt/f/8=")</f>
        <v>#REF!</v>
      </c>
    </row>
    <row r="41" spans="1:256" ht="12.75" customHeight="1" x14ac:dyDescent="0.2">
      <c r="A41" s="34" t="e">
        <f>AND(#REF!,"AAAAAG+e3QA=")</f>
        <v>#REF!</v>
      </c>
      <c r="B41" s="34" t="e">
        <f>AND(#REF!,"AAAAAG+e3QE=")</f>
        <v>#REF!</v>
      </c>
      <c r="C41" s="34" t="e">
        <f>AND(#REF!,"AAAAAG+e3QI=")</f>
        <v>#REF!</v>
      </c>
      <c r="D41" s="34" t="e">
        <f>AND(#REF!,"AAAAAG+e3QM=")</f>
        <v>#REF!</v>
      </c>
      <c r="E41" s="34" t="e">
        <f>AND(#REF!,"AAAAAG+e3QQ=")</f>
        <v>#REF!</v>
      </c>
      <c r="F41" s="34" t="e">
        <f>IF(#REF!,"AAAAAG+e3QU=",0)</f>
        <v>#REF!</v>
      </c>
      <c r="G41" s="34" t="e">
        <f>AND(#REF!,"AAAAAG+e3QY=")</f>
        <v>#REF!</v>
      </c>
      <c r="H41" s="34" t="e">
        <f>AND(#REF!,"AAAAAG+e3Qc=")</f>
        <v>#REF!</v>
      </c>
      <c r="I41" s="34" t="e">
        <f>AND(#REF!,"AAAAAG+e3Qg=")</f>
        <v>#REF!</v>
      </c>
      <c r="J41" s="34" t="e">
        <f>AND(#REF!,"AAAAAG+e3Qk=")</f>
        <v>#REF!</v>
      </c>
      <c r="K41" s="34" t="e">
        <f>AND(#REF!,"AAAAAG+e3Qo=")</f>
        <v>#REF!</v>
      </c>
      <c r="L41" s="34" t="e">
        <f>AND(#REF!,"AAAAAG+e3Qs=")</f>
        <v>#REF!</v>
      </c>
      <c r="M41" s="34" t="e">
        <f>AND(#REF!,"AAAAAG+e3Qw=")</f>
        <v>#REF!</v>
      </c>
      <c r="N41" s="34" t="e">
        <f>AND(#REF!,"AAAAAG+e3Q0=")</f>
        <v>#REF!</v>
      </c>
      <c r="O41" s="34" t="e">
        <f>AND(#REF!,"AAAAAG+e3Q4=")</f>
        <v>#REF!</v>
      </c>
      <c r="P41" s="34" t="e">
        <f>AND(#REF!,"AAAAAG+e3Q8=")</f>
        <v>#REF!</v>
      </c>
      <c r="Q41" s="34" t="e">
        <f>AND(#REF!,"AAAAAG+e3RA=")</f>
        <v>#REF!</v>
      </c>
      <c r="R41" s="34" t="e">
        <f>AND(#REF!,"AAAAAG+e3RE=")</f>
        <v>#REF!</v>
      </c>
      <c r="S41" s="34" t="e">
        <f>AND(#REF!,"AAAAAG+e3RI=")</f>
        <v>#REF!</v>
      </c>
      <c r="T41" s="34" t="e">
        <f>AND(#REF!,"AAAAAG+e3RM=")</f>
        <v>#REF!</v>
      </c>
      <c r="U41" s="34" t="e">
        <f>AND(#REF!,"AAAAAG+e3RQ=")</f>
        <v>#REF!</v>
      </c>
      <c r="V41" s="34" t="e">
        <f>AND(#REF!,"AAAAAG+e3RU=")</f>
        <v>#REF!</v>
      </c>
      <c r="W41" s="34" t="e">
        <f>AND(#REF!,"AAAAAG+e3RY=")</f>
        <v>#REF!</v>
      </c>
      <c r="X41" s="34" t="e">
        <f>AND(#REF!,"AAAAAG+e3Rc=")</f>
        <v>#REF!</v>
      </c>
      <c r="Y41" s="34" t="e">
        <f>AND(#REF!,"AAAAAG+e3Rg=")</f>
        <v>#REF!</v>
      </c>
      <c r="Z41" s="34" t="e">
        <f>AND(#REF!,"AAAAAG+e3Rk=")</f>
        <v>#REF!</v>
      </c>
      <c r="AA41" s="34" t="e">
        <f>AND(#REF!,"AAAAAG+e3Ro=")</f>
        <v>#REF!</v>
      </c>
      <c r="AB41" s="34" t="e">
        <f>AND(#REF!,"AAAAAG+e3Rs=")</f>
        <v>#REF!</v>
      </c>
      <c r="AC41" s="34" t="e">
        <f>AND(#REF!,"AAAAAG+e3Rw=")</f>
        <v>#REF!</v>
      </c>
      <c r="AD41" s="34" t="e">
        <f>AND(#REF!,"AAAAAG+e3R0=")</f>
        <v>#REF!</v>
      </c>
      <c r="AE41" s="34" t="e">
        <f>AND(#REF!,"AAAAAG+e3R4=")</f>
        <v>#REF!</v>
      </c>
      <c r="AF41" s="34" t="e">
        <f>AND(#REF!,"AAAAAG+e3R8=")</f>
        <v>#REF!</v>
      </c>
      <c r="AG41" s="34" t="e">
        <f>AND(#REF!,"AAAAAG+e3SA=")</f>
        <v>#REF!</v>
      </c>
      <c r="AH41" s="34" t="e">
        <f>AND(#REF!,"AAAAAG+e3SE=")</f>
        <v>#REF!</v>
      </c>
      <c r="AI41" s="34" t="e">
        <f>AND(#REF!,"AAAAAG+e3SI=")</f>
        <v>#REF!</v>
      </c>
      <c r="AJ41" s="34" t="e">
        <f>AND(#REF!,"AAAAAG+e3SM=")</f>
        <v>#REF!</v>
      </c>
      <c r="AK41" s="34" t="e">
        <f>AND(#REF!,"AAAAAG+e3SQ=")</f>
        <v>#REF!</v>
      </c>
      <c r="AL41" s="34" t="e">
        <f>AND(#REF!,"AAAAAG+e3SU=")</f>
        <v>#REF!</v>
      </c>
      <c r="AM41" s="34" t="e">
        <f>AND(#REF!,"AAAAAG+e3SY=")</f>
        <v>#REF!</v>
      </c>
      <c r="AN41" s="34" t="e">
        <f>AND(#REF!,"AAAAAG+e3Sc=")</f>
        <v>#REF!</v>
      </c>
      <c r="AO41" s="34" t="e">
        <f>AND(#REF!,"AAAAAG+e3Sg=")</f>
        <v>#REF!</v>
      </c>
      <c r="AP41" s="34" t="e">
        <f>AND(#REF!,"AAAAAG+e3Sk=")</f>
        <v>#REF!</v>
      </c>
      <c r="AQ41" s="34" t="e">
        <f>AND(#REF!,"AAAAAG+e3So=")</f>
        <v>#REF!</v>
      </c>
      <c r="AR41" s="34" t="e">
        <f>AND(#REF!,"AAAAAG+e3Ss=")</f>
        <v>#REF!</v>
      </c>
      <c r="AS41" s="34" t="e">
        <f>AND(#REF!,"AAAAAG+e3Sw=")</f>
        <v>#REF!</v>
      </c>
      <c r="AT41" s="34" t="e">
        <f>AND(#REF!,"AAAAAG+e3S0=")</f>
        <v>#REF!</v>
      </c>
      <c r="AU41" s="34" t="e">
        <f>AND(#REF!,"AAAAAG+e3S4=")</f>
        <v>#REF!</v>
      </c>
      <c r="AV41" s="34" t="e">
        <f>AND(#REF!,"AAAAAG+e3S8=")</f>
        <v>#REF!</v>
      </c>
      <c r="AW41" s="34" t="e">
        <f>AND(#REF!,"AAAAAG+e3TA=")</f>
        <v>#REF!</v>
      </c>
      <c r="AX41" s="34" t="e">
        <f>AND(#REF!,"AAAAAG+e3TE=")</f>
        <v>#REF!</v>
      </c>
      <c r="AY41" s="34" t="e">
        <f>AND(#REF!,"AAAAAG+e3TI=")</f>
        <v>#REF!</v>
      </c>
      <c r="AZ41" s="34" t="e">
        <f>AND(#REF!,"AAAAAG+e3TM=")</f>
        <v>#REF!</v>
      </c>
      <c r="BA41" s="34" t="e">
        <f>AND(#REF!,"AAAAAG+e3TQ=")</f>
        <v>#REF!</v>
      </c>
      <c r="BB41" s="34" t="e">
        <f>AND(#REF!,"AAAAAG+e3TU=")</f>
        <v>#REF!</v>
      </c>
      <c r="BC41" s="34" t="e">
        <f>AND(#REF!,"AAAAAG+e3TY=")</f>
        <v>#REF!</v>
      </c>
      <c r="BD41" s="34" t="e">
        <f>AND(#REF!,"AAAAAG+e3Tc=")</f>
        <v>#REF!</v>
      </c>
      <c r="BE41" s="34" t="e">
        <f>AND(#REF!,"AAAAAG+e3Tg=")</f>
        <v>#REF!</v>
      </c>
      <c r="BF41" s="34" t="e">
        <f>AND(#REF!,"AAAAAG+e3Tk=")</f>
        <v>#REF!</v>
      </c>
      <c r="BG41" s="34" t="e">
        <f>AND(#REF!,"AAAAAG+e3To=")</f>
        <v>#REF!</v>
      </c>
      <c r="BH41" s="34" t="e">
        <f>AND(#REF!,"AAAAAG+e3Ts=")</f>
        <v>#REF!</v>
      </c>
      <c r="BI41" s="34" t="e">
        <f>AND(#REF!,"AAAAAG+e3Tw=")</f>
        <v>#REF!</v>
      </c>
      <c r="BJ41" s="34" t="e">
        <f>AND(#REF!,"AAAAAG+e3T0=")</f>
        <v>#REF!</v>
      </c>
      <c r="BK41" s="34" t="e">
        <f>AND(#REF!,"AAAAAG+e3T4=")</f>
        <v>#REF!</v>
      </c>
      <c r="BL41" s="34" t="e">
        <f>AND(#REF!,"AAAAAG+e3T8=")</f>
        <v>#REF!</v>
      </c>
      <c r="BM41" s="34" t="e">
        <f>AND(#REF!,"AAAAAG+e3UA=")</f>
        <v>#REF!</v>
      </c>
      <c r="BN41" s="34" t="e">
        <f>AND(#REF!,"AAAAAG+e3UE=")</f>
        <v>#REF!</v>
      </c>
      <c r="BO41" s="34" t="e">
        <f>AND(#REF!,"AAAAAG+e3UI=")</f>
        <v>#REF!</v>
      </c>
      <c r="BP41" s="34" t="e">
        <f>AND(#REF!,"AAAAAG+e3UM=")</f>
        <v>#REF!</v>
      </c>
      <c r="BQ41" s="34" t="e">
        <f>AND(#REF!,"AAAAAG+e3UQ=")</f>
        <v>#REF!</v>
      </c>
      <c r="BR41" s="34" t="e">
        <f>AND(#REF!,"AAAAAG+e3UU=")</f>
        <v>#REF!</v>
      </c>
      <c r="BS41" s="34" t="e">
        <f>AND(#REF!,"AAAAAG+e3UY=")</f>
        <v>#REF!</v>
      </c>
      <c r="BT41" s="34" t="e">
        <f>AND(#REF!,"AAAAAG+e3Uc=")</f>
        <v>#REF!</v>
      </c>
      <c r="BU41" s="34" t="e">
        <f>AND(#REF!,"AAAAAG+e3Ug=")</f>
        <v>#REF!</v>
      </c>
      <c r="BV41" s="34" t="e">
        <f>AND(#REF!,"AAAAAG+e3Uk=")</f>
        <v>#REF!</v>
      </c>
      <c r="BW41" s="34" t="e">
        <f>AND(#REF!,"AAAAAG+e3Uo=")</f>
        <v>#REF!</v>
      </c>
      <c r="BX41" s="34" t="e">
        <f>AND(#REF!,"AAAAAG+e3Us=")</f>
        <v>#REF!</v>
      </c>
      <c r="BY41" s="34" t="e">
        <f>AND(#REF!,"AAAAAG+e3Uw=")</f>
        <v>#REF!</v>
      </c>
      <c r="BZ41" s="34" t="e">
        <f>AND(#REF!,"AAAAAG+e3U0=")</f>
        <v>#REF!</v>
      </c>
      <c r="CA41" s="34" t="e">
        <f>IF(#REF!,"AAAAAG+e3U4=",0)</f>
        <v>#REF!</v>
      </c>
      <c r="CB41" s="34" t="e">
        <f>AND(#REF!,"AAAAAG+e3U8=")</f>
        <v>#REF!</v>
      </c>
      <c r="CC41" s="34" t="e">
        <f>AND(#REF!,"AAAAAG+e3VA=")</f>
        <v>#REF!</v>
      </c>
      <c r="CD41" s="34" t="e">
        <f>AND(#REF!,"AAAAAG+e3VE=")</f>
        <v>#REF!</v>
      </c>
      <c r="CE41" s="34" t="e">
        <f>AND(#REF!,"AAAAAG+e3VI=")</f>
        <v>#REF!</v>
      </c>
      <c r="CF41" s="34" t="e">
        <f>AND(#REF!,"AAAAAG+e3VM=")</f>
        <v>#REF!</v>
      </c>
      <c r="CG41" s="34" t="e">
        <f>AND(#REF!,"AAAAAG+e3VQ=")</f>
        <v>#REF!</v>
      </c>
      <c r="CH41" s="34" t="e">
        <f>AND(#REF!,"AAAAAG+e3VU=")</f>
        <v>#REF!</v>
      </c>
      <c r="CI41" s="34" t="e">
        <f>AND(#REF!,"AAAAAG+e3VY=")</f>
        <v>#REF!</v>
      </c>
      <c r="CJ41" s="34" t="e">
        <f>AND(#REF!,"AAAAAG+e3Vc=")</f>
        <v>#REF!</v>
      </c>
      <c r="CK41" s="34" t="e">
        <f>AND(#REF!,"AAAAAG+e3Vg=")</f>
        <v>#REF!</v>
      </c>
      <c r="CL41" s="34" t="e">
        <f>AND(#REF!,"AAAAAG+e3Vk=")</f>
        <v>#REF!</v>
      </c>
      <c r="CM41" s="34" t="e">
        <f>AND(#REF!,"AAAAAG+e3Vo=")</f>
        <v>#REF!</v>
      </c>
      <c r="CN41" s="34" t="e">
        <f>AND(#REF!,"AAAAAG+e3Vs=")</f>
        <v>#REF!</v>
      </c>
      <c r="CO41" s="34" t="e">
        <f>AND(#REF!,"AAAAAG+e3Vw=")</f>
        <v>#REF!</v>
      </c>
      <c r="CP41" s="34" t="e">
        <f>AND(#REF!,"AAAAAG+e3V0=")</f>
        <v>#REF!</v>
      </c>
      <c r="CQ41" s="34" t="e">
        <f>AND(#REF!,"AAAAAG+e3V4=")</f>
        <v>#REF!</v>
      </c>
      <c r="CR41" s="34" t="e">
        <f>AND(#REF!,"AAAAAG+e3V8=")</f>
        <v>#REF!</v>
      </c>
      <c r="CS41" s="34" t="e">
        <f>AND(#REF!,"AAAAAG+e3WA=")</f>
        <v>#REF!</v>
      </c>
      <c r="CT41" s="34" t="e">
        <f>AND(#REF!,"AAAAAG+e3WE=")</f>
        <v>#REF!</v>
      </c>
      <c r="CU41" s="34" t="e">
        <f>AND(#REF!,"AAAAAG+e3WI=")</f>
        <v>#REF!</v>
      </c>
      <c r="CV41" s="34" t="e">
        <f>AND(#REF!,"AAAAAG+e3WM=")</f>
        <v>#REF!</v>
      </c>
      <c r="CW41" s="34" t="e">
        <f>AND(#REF!,"AAAAAG+e3WQ=")</f>
        <v>#REF!</v>
      </c>
      <c r="CX41" s="34" t="e">
        <f>AND(#REF!,"AAAAAG+e3WU=")</f>
        <v>#REF!</v>
      </c>
      <c r="CY41" s="34" t="e">
        <f>AND(#REF!,"AAAAAG+e3WY=")</f>
        <v>#REF!</v>
      </c>
      <c r="CZ41" s="34" t="e">
        <f>AND(#REF!,"AAAAAG+e3Wc=")</f>
        <v>#REF!</v>
      </c>
      <c r="DA41" s="34" t="e">
        <f>AND(#REF!,"AAAAAG+e3Wg=")</f>
        <v>#REF!</v>
      </c>
      <c r="DB41" s="34" t="e">
        <f>AND(#REF!,"AAAAAG+e3Wk=")</f>
        <v>#REF!</v>
      </c>
      <c r="DC41" s="34" t="e">
        <f>AND(#REF!,"AAAAAG+e3Wo=")</f>
        <v>#REF!</v>
      </c>
      <c r="DD41" s="34" t="e">
        <f>AND(#REF!,"AAAAAG+e3Ws=")</f>
        <v>#REF!</v>
      </c>
      <c r="DE41" s="34" t="e">
        <f>AND(#REF!,"AAAAAG+e3Ww=")</f>
        <v>#REF!</v>
      </c>
      <c r="DF41" s="34" t="e">
        <f>AND(#REF!,"AAAAAG+e3W0=")</f>
        <v>#REF!</v>
      </c>
      <c r="DG41" s="34" t="e">
        <f>AND(#REF!,"AAAAAG+e3W4=")</f>
        <v>#REF!</v>
      </c>
      <c r="DH41" s="34" t="e">
        <f>AND(#REF!,"AAAAAG+e3W8=")</f>
        <v>#REF!</v>
      </c>
      <c r="DI41" s="34" t="e">
        <f>AND(#REF!,"AAAAAG+e3XA=")</f>
        <v>#REF!</v>
      </c>
      <c r="DJ41" s="34" t="e">
        <f>AND(#REF!,"AAAAAG+e3XE=")</f>
        <v>#REF!</v>
      </c>
      <c r="DK41" s="34" t="e">
        <f>AND(#REF!,"AAAAAG+e3XI=")</f>
        <v>#REF!</v>
      </c>
      <c r="DL41" s="34" t="e">
        <f>AND(#REF!,"AAAAAG+e3XM=")</f>
        <v>#REF!</v>
      </c>
      <c r="DM41" s="34" t="e">
        <f>AND(#REF!,"AAAAAG+e3XQ=")</f>
        <v>#REF!</v>
      </c>
      <c r="DN41" s="34" t="e">
        <f>AND(#REF!,"AAAAAG+e3XU=")</f>
        <v>#REF!</v>
      </c>
      <c r="DO41" s="34" t="e">
        <f>AND(#REF!,"AAAAAG+e3XY=")</f>
        <v>#REF!</v>
      </c>
      <c r="DP41" s="34" t="e">
        <f>AND(#REF!,"AAAAAG+e3Xc=")</f>
        <v>#REF!</v>
      </c>
      <c r="DQ41" s="34" t="e">
        <f>AND(#REF!,"AAAAAG+e3Xg=")</f>
        <v>#REF!</v>
      </c>
      <c r="DR41" s="34" t="e">
        <f>AND(#REF!,"AAAAAG+e3Xk=")</f>
        <v>#REF!</v>
      </c>
      <c r="DS41" s="34" t="e">
        <f>AND(#REF!,"AAAAAG+e3Xo=")</f>
        <v>#REF!</v>
      </c>
      <c r="DT41" s="34" t="e">
        <f>AND(#REF!,"AAAAAG+e3Xs=")</f>
        <v>#REF!</v>
      </c>
      <c r="DU41" s="34" t="e">
        <f>AND(#REF!,"AAAAAG+e3Xw=")</f>
        <v>#REF!</v>
      </c>
      <c r="DV41" s="34" t="e">
        <f>AND(#REF!,"AAAAAG+e3X0=")</f>
        <v>#REF!</v>
      </c>
      <c r="DW41" s="34" t="e">
        <f>AND(#REF!,"AAAAAG+e3X4=")</f>
        <v>#REF!</v>
      </c>
      <c r="DX41" s="34" t="e">
        <f>AND(#REF!,"AAAAAG+e3X8=")</f>
        <v>#REF!</v>
      </c>
      <c r="DY41" s="34" t="e">
        <f>AND(#REF!,"AAAAAG+e3YA=")</f>
        <v>#REF!</v>
      </c>
      <c r="DZ41" s="34" t="e">
        <f>AND(#REF!,"AAAAAG+e3YE=")</f>
        <v>#REF!</v>
      </c>
      <c r="EA41" s="34" t="e">
        <f>AND(#REF!,"AAAAAG+e3YI=")</f>
        <v>#REF!</v>
      </c>
      <c r="EB41" s="34" t="e">
        <f>AND(#REF!,"AAAAAG+e3YM=")</f>
        <v>#REF!</v>
      </c>
      <c r="EC41" s="34" t="e">
        <f>AND(#REF!,"AAAAAG+e3YQ=")</f>
        <v>#REF!</v>
      </c>
      <c r="ED41" s="34" t="e">
        <f>AND(#REF!,"AAAAAG+e3YU=")</f>
        <v>#REF!</v>
      </c>
      <c r="EE41" s="34" t="e">
        <f>AND(#REF!,"AAAAAG+e3YY=")</f>
        <v>#REF!</v>
      </c>
      <c r="EF41" s="34" t="e">
        <f>AND(#REF!,"AAAAAG+e3Yc=")</f>
        <v>#REF!</v>
      </c>
      <c r="EG41" s="34" t="e">
        <f>AND(#REF!,"AAAAAG+e3Yg=")</f>
        <v>#REF!</v>
      </c>
      <c r="EH41" s="34" t="e">
        <f>AND(#REF!,"AAAAAG+e3Yk=")</f>
        <v>#REF!</v>
      </c>
      <c r="EI41" s="34" t="e">
        <f>AND(#REF!,"AAAAAG+e3Yo=")</f>
        <v>#REF!</v>
      </c>
      <c r="EJ41" s="34" t="e">
        <f>AND(#REF!,"AAAAAG+e3Ys=")</f>
        <v>#REF!</v>
      </c>
      <c r="EK41" s="34" t="e">
        <f>AND(#REF!,"AAAAAG+e3Yw=")</f>
        <v>#REF!</v>
      </c>
      <c r="EL41" s="34" t="e">
        <f>AND(#REF!,"AAAAAG+e3Y0=")</f>
        <v>#REF!</v>
      </c>
      <c r="EM41" s="34" t="e">
        <f>AND(#REF!,"AAAAAG+e3Y4=")</f>
        <v>#REF!</v>
      </c>
      <c r="EN41" s="34" t="e">
        <f>AND(#REF!,"AAAAAG+e3Y8=")</f>
        <v>#REF!</v>
      </c>
      <c r="EO41" s="34" t="e">
        <f>AND(#REF!,"AAAAAG+e3ZA=")</f>
        <v>#REF!</v>
      </c>
      <c r="EP41" s="34" t="e">
        <f>AND(#REF!,"AAAAAG+e3ZE=")</f>
        <v>#REF!</v>
      </c>
      <c r="EQ41" s="34" t="e">
        <f>AND(#REF!,"AAAAAG+e3ZI=")</f>
        <v>#REF!</v>
      </c>
      <c r="ER41" s="34" t="e">
        <f>AND(#REF!,"AAAAAG+e3ZM=")</f>
        <v>#REF!</v>
      </c>
      <c r="ES41" s="34" t="e">
        <f>AND(#REF!,"AAAAAG+e3ZQ=")</f>
        <v>#REF!</v>
      </c>
      <c r="ET41" s="34" t="e">
        <f>AND(#REF!,"AAAAAG+e3ZU=")</f>
        <v>#REF!</v>
      </c>
      <c r="EU41" s="34" t="e">
        <f>AND(#REF!,"AAAAAG+e3ZY=")</f>
        <v>#REF!</v>
      </c>
      <c r="EV41" s="34" t="e">
        <f>IF(#REF!,"AAAAAG+e3Zc=",0)</f>
        <v>#REF!</v>
      </c>
      <c r="EW41" s="34" t="e">
        <f>AND(#REF!,"AAAAAG+e3Zg=")</f>
        <v>#REF!</v>
      </c>
      <c r="EX41" s="34" t="e">
        <f>AND(#REF!,"AAAAAG+e3Zk=")</f>
        <v>#REF!</v>
      </c>
      <c r="EY41" s="34" t="e">
        <f>AND(#REF!,"AAAAAG+e3Zo=")</f>
        <v>#REF!</v>
      </c>
      <c r="EZ41" s="34" t="e">
        <f>AND(#REF!,"AAAAAG+e3Zs=")</f>
        <v>#REF!</v>
      </c>
      <c r="FA41" s="34" t="e">
        <f>AND(#REF!,"AAAAAG+e3Zw=")</f>
        <v>#REF!</v>
      </c>
      <c r="FB41" s="34" t="e">
        <f>AND(#REF!,"AAAAAG+e3Z0=")</f>
        <v>#REF!</v>
      </c>
      <c r="FC41" s="34" t="e">
        <f>AND(#REF!,"AAAAAG+e3Z4=")</f>
        <v>#REF!</v>
      </c>
      <c r="FD41" s="34" t="e">
        <f>AND(#REF!,"AAAAAG+e3Z8=")</f>
        <v>#REF!</v>
      </c>
      <c r="FE41" s="34" t="e">
        <f>AND(#REF!,"AAAAAG+e3aA=")</f>
        <v>#REF!</v>
      </c>
      <c r="FF41" s="34" t="e">
        <f>AND(#REF!,"AAAAAG+e3aE=")</f>
        <v>#REF!</v>
      </c>
      <c r="FG41" s="34" t="e">
        <f>AND(#REF!,"AAAAAG+e3aI=")</f>
        <v>#REF!</v>
      </c>
      <c r="FH41" s="34" t="e">
        <f>AND(#REF!,"AAAAAG+e3aM=")</f>
        <v>#REF!</v>
      </c>
      <c r="FI41" s="34" t="e">
        <f>AND(#REF!,"AAAAAG+e3aQ=")</f>
        <v>#REF!</v>
      </c>
      <c r="FJ41" s="34" t="e">
        <f>AND(#REF!,"AAAAAG+e3aU=")</f>
        <v>#REF!</v>
      </c>
      <c r="FK41" s="34" t="e">
        <f>AND(#REF!,"AAAAAG+e3aY=")</f>
        <v>#REF!</v>
      </c>
      <c r="FL41" s="34" t="e">
        <f>AND(#REF!,"AAAAAG+e3ac=")</f>
        <v>#REF!</v>
      </c>
      <c r="FM41" s="34" t="e">
        <f>AND(#REF!,"AAAAAG+e3ag=")</f>
        <v>#REF!</v>
      </c>
      <c r="FN41" s="34" t="e">
        <f>AND(#REF!,"AAAAAG+e3ak=")</f>
        <v>#REF!</v>
      </c>
      <c r="FO41" s="34" t="e">
        <f>AND(#REF!,"AAAAAG+e3ao=")</f>
        <v>#REF!</v>
      </c>
      <c r="FP41" s="34" t="e">
        <f>AND(#REF!,"AAAAAG+e3as=")</f>
        <v>#REF!</v>
      </c>
      <c r="FQ41" s="34" t="e">
        <f>AND(#REF!,"AAAAAG+e3aw=")</f>
        <v>#REF!</v>
      </c>
      <c r="FR41" s="34" t="e">
        <f>AND(#REF!,"AAAAAG+e3a0=")</f>
        <v>#REF!</v>
      </c>
      <c r="FS41" s="34" t="e">
        <f>AND(#REF!,"AAAAAG+e3a4=")</f>
        <v>#REF!</v>
      </c>
      <c r="FT41" s="34" t="e">
        <f>AND(#REF!,"AAAAAG+e3a8=")</f>
        <v>#REF!</v>
      </c>
      <c r="FU41" s="34" t="e">
        <f>AND(#REF!,"AAAAAG+e3bA=")</f>
        <v>#REF!</v>
      </c>
      <c r="FV41" s="34" t="e">
        <f>AND(#REF!,"AAAAAG+e3bE=")</f>
        <v>#REF!</v>
      </c>
      <c r="FW41" s="34" t="e">
        <f>AND(#REF!,"AAAAAG+e3bI=")</f>
        <v>#REF!</v>
      </c>
      <c r="FX41" s="34" t="e">
        <f>AND(#REF!,"AAAAAG+e3bM=")</f>
        <v>#REF!</v>
      </c>
      <c r="FY41" s="34" t="e">
        <f>AND(#REF!,"AAAAAG+e3bQ=")</f>
        <v>#REF!</v>
      </c>
      <c r="FZ41" s="34" t="e">
        <f>AND(#REF!,"AAAAAG+e3bU=")</f>
        <v>#REF!</v>
      </c>
      <c r="GA41" s="34" t="e">
        <f>AND(#REF!,"AAAAAG+e3bY=")</f>
        <v>#REF!</v>
      </c>
      <c r="GB41" s="34" t="e">
        <f>AND(#REF!,"AAAAAG+e3bc=")</f>
        <v>#REF!</v>
      </c>
      <c r="GC41" s="34" t="e">
        <f>AND(#REF!,"AAAAAG+e3bg=")</f>
        <v>#REF!</v>
      </c>
      <c r="GD41" s="34" t="e">
        <f>AND(#REF!,"AAAAAG+e3bk=")</f>
        <v>#REF!</v>
      </c>
      <c r="GE41" s="34" t="e">
        <f>AND(#REF!,"AAAAAG+e3bo=")</f>
        <v>#REF!</v>
      </c>
      <c r="GF41" s="34" t="e">
        <f>AND(#REF!,"AAAAAG+e3bs=")</f>
        <v>#REF!</v>
      </c>
      <c r="GG41" s="34" t="e">
        <f>AND(#REF!,"AAAAAG+e3bw=")</f>
        <v>#REF!</v>
      </c>
      <c r="GH41" s="34" t="e">
        <f>AND(#REF!,"AAAAAG+e3b0=")</f>
        <v>#REF!</v>
      </c>
      <c r="GI41" s="34" t="e">
        <f>AND(#REF!,"AAAAAG+e3b4=")</f>
        <v>#REF!</v>
      </c>
      <c r="GJ41" s="34" t="e">
        <f>AND(#REF!,"AAAAAG+e3b8=")</f>
        <v>#REF!</v>
      </c>
      <c r="GK41" s="34" t="e">
        <f>AND(#REF!,"AAAAAG+e3cA=")</f>
        <v>#REF!</v>
      </c>
      <c r="GL41" s="34" t="e">
        <f>AND(#REF!,"AAAAAG+e3cE=")</f>
        <v>#REF!</v>
      </c>
      <c r="GM41" s="34" t="e">
        <f>AND(#REF!,"AAAAAG+e3cI=")</f>
        <v>#REF!</v>
      </c>
      <c r="GN41" s="34" t="e">
        <f>AND(#REF!,"AAAAAG+e3cM=")</f>
        <v>#REF!</v>
      </c>
      <c r="GO41" s="34" t="e">
        <f>AND(#REF!,"AAAAAG+e3cQ=")</f>
        <v>#REF!</v>
      </c>
      <c r="GP41" s="34" t="e">
        <f>AND(#REF!,"AAAAAG+e3cU=")</f>
        <v>#REF!</v>
      </c>
      <c r="GQ41" s="34" t="e">
        <f>AND(#REF!,"AAAAAG+e3cY=")</f>
        <v>#REF!</v>
      </c>
      <c r="GR41" s="34" t="e">
        <f>AND(#REF!,"AAAAAG+e3cc=")</f>
        <v>#REF!</v>
      </c>
      <c r="GS41" s="34" t="e">
        <f>AND(#REF!,"AAAAAG+e3cg=")</f>
        <v>#REF!</v>
      </c>
      <c r="GT41" s="34" t="e">
        <f>AND(#REF!,"AAAAAG+e3ck=")</f>
        <v>#REF!</v>
      </c>
      <c r="GU41" s="34" t="e">
        <f>AND(#REF!,"AAAAAG+e3co=")</f>
        <v>#REF!</v>
      </c>
      <c r="GV41" s="34" t="e">
        <f>AND(#REF!,"AAAAAG+e3cs=")</f>
        <v>#REF!</v>
      </c>
      <c r="GW41" s="34" t="e">
        <f>AND(#REF!,"AAAAAG+e3cw=")</f>
        <v>#REF!</v>
      </c>
      <c r="GX41" s="34" t="e">
        <f>AND(#REF!,"AAAAAG+e3c0=")</f>
        <v>#REF!</v>
      </c>
      <c r="GY41" s="34" t="e">
        <f>AND(#REF!,"AAAAAG+e3c4=")</f>
        <v>#REF!</v>
      </c>
      <c r="GZ41" s="34" t="e">
        <f>AND(#REF!,"AAAAAG+e3c8=")</f>
        <v>#REF!</v>
      </c>
      <c r="HA41" s="34" t="e">
        <f>AND(#REF!,"AAAAAG+e3dA=")</f>
        <v>#REF!</v>
      </c>
      <c r="HB41" s="34" t="e">
        <f>AND(#REF!,"AAAAAG+e3dE=")</f>
        <v>#REF!</v>
      </c>
      <c r="HC41" s="34" t="e">
        <f>AND(#REF!,"AAAAAG+e3dI=")</f>
        <v>#REF!</v>
      </c>
      <c r="HD41" s="34" t="e">
        <f>AND(#REF!,"AAAAAG+e3dM=")</f>
        <v>#REF!</v>
      </c>
      <c r="HE41" s="34" t="e">
        <f>AND(#REF!,"AAAAAG+e3dQ=")</f>
        <v>#REF!</v>
      </c>
      <c r="HF41" s="34" t="e">
        <f>AND(#REF!,"AAAAAG+e3dU=")</f>
        <v>#REF!</v>
      </c>
      <c r="HG41" s="34" t="e">
        <f>AND(#REF!,"AAAAAG+e3dY=")</f>
        <v>#REF!</v>
      </c>
      <c r="HH41" s="34" t="e">
        <f>AND(#REF!,"AAAAAG+e3dc=")</f>
        <v>#REF!</v>
      </c>
      <c r="HI41" s="34" t="e">
        <f>AND(#REF!,"AAAAAG+e3dg=")</f>
        <v>#REF!</v>
      </c>
      <c r="HJ41" s="34" t="e">
        <f>AND(#REF!,"AAAAAG+e3dk=")</f>
        <v>#REF!</v>
      </c>
      <c r="HK41" s="34" t="e">
        <f>AND(#REF!,"AAAAAG+e3do=")</f>
        <v>#REF!</v>
      </c>
      <c r="HL41" s="34" t="e">
        <f>AND(#REF!,"AAAAAG+e3ds=")</f>
        <v>#REF!</v>
      </c>
      <c r="HM41" s="34" t="e">
        <f>AND(#REF!,"AAAAAG+e3dw=")</f>
        <v>#REF!</v>
      </c>
      <c r="HN41" s="34" t="e">
        <f>AND(#REF!,"AAAAAG+e3d0=")</f>
        <v>#REF!</v>
      </c>
      <c r="HO41" s="34" t="e">
        <f>AND(#REF!,"AAAAAG+e3d4=")</f>
        <v>#REF!</v>
      </c>
      <c r="HP41" s="34" t="e">
        <f>AND(#REF!,"AAAAAG+e3d8=")</f>
        <v>#REF!</v>
      </c>
      <c r="HQ41" s="34" t="e">
        <f>IF(#REF!,"AAAAAG+e3eA=",0)</f>
        <v>#REF!</v>
      </c>
      <c r="HR41" s="34" t="e">
        <f>AND(#REF!,"AAAAAG+e3eE=")</f>
        <v>#REF!</v>
      </c>
      <c r="HS41" s="34" t="e">
        <f>AND(#REF!,"AAAAAG+e3eI=")</f>
        <v>#REF!</v>
      </c>
      <c r="HT41" s="34" t="e">
        <f>AND(#REF!,"AAAAAG+e3eM=")</f>
        <v>#REF!</v>
      </c>
      <c r="HU41" s="34" t="e">
        <f>AND(#REF!,"AAAAAG+e3eQ=")</f>
        <v>#REF!</v>
      </c>
      <c r="HV41" s="34" t="e">
        <f>AND(#REF!,"AAAAAG+e3eU=")</f>
        <v>#REF!</v>
      </c>
      <c r="HW41" s="34" t="e">
        <f>AND(#REF!,"AAAAAG+e3eY=")</f>
        <v>#REF!</v>
      </c>
      <c r="HX41" s="34" t="e">
        <f>AND(#REF!,"AAAAAG+e3ec=")</f>
        <v>#REF!</v>
      </c>
      <c r="HY41" s="34" t="e">
        <f>AND(#REF!,"AAAAAG+e3eg=")</f>
        <v>#REF!</v>
      </c>
      <c r="HZ41" s="34" t="e">
        <f>AND(#REF!,"AAAAAG+e3ek=")</f>
        <v>#REF!</v>
      </c>
      <c r="IA41" s="34" t="e">
        <f>AND(#REF!,"AAAAAG+e3eo=")</f>
        <v>#REF!</v>
      </c>
      <c r="IB41" s="34" t="e">
        <f>AND(#REF!,"AAAAAG+e3es=")</f>
        <v>#REF!</v>
      </c>
      <c r="IC41" s="34" t="e">
        <f>AND(#REF!,"AAAAAG+e3ew=")</f>
        <v>#REF!</v>
      </c>
      <c r="ID41" s="34" t="e">
        <f>AND(#REF!,"AAAAAG+e3e0=")</f>
        <v>#REF!</v>
      </c>
      <c r="IE41" s="34" t="e">
        <f>AND(#REF!,"AAAAAG+e3e4=")</f>
        <v>#REF!</v>
      </c>
      <c r="IF41" s="34" t="e">
        <f>AND(#REF!,"AAAAAG+e3e8=")</f>
        <v>#REF!</v>
      </c>
      <c r="IG41" s="34" t="e">
        <f>AND(#REF!,"AAAAAG+e3fA=")</f>
        <v>#REF!</v>
      </c>
      <c r="IH41" s="34" t="e">
        <f>AND(#REF!,"AAAAAG+e3fE=")</f>
        <v>#REF!</v>
      </c>
      <c r="II41" s="34" t="e">
        <f>AND(#REF!,"AAAAAG+e3fI=")</f>
        <v>#REF!</v>
      </c>
      <c r="IJ41" s="34" t="e">
        <f>AND(#REF!,"AAAAAG+e3fM=")</f>
        <v>#REF!</v>
      </c>
      <c r="IK41" s="34" t="e">
        <f>AND(#REF!,"AAAAAG+e3fQ=")</f>
        <v>#REF!</v>
      </c>
      <c r="IL41" s="34" t="e">
        <f>AND(#REF!,"AAAAAG+e3fU=")</f>
        <v>#REF!</v>
      </c>
      <c r="IM41" s="34" t="e">
        <f>AND(#REF!,"AAAAAG+e3fY=")</f>
        <v>#REF!</v>
      </c>
      <c r="IN41" s="34" t="e">
        <f>AND(#REF!,"AAAAAG+e3fc=")</f>
        <v>#REF!</v>
      </c>
      <c r="IO41" s="34" t="e">
        <f>AND(#REF!,"AAAAAG+e3fg=")</f>
        <v>#REF!</v>
      </c>
      <c r="IP41" s="34" t="e">
        <f>AND(#REF!,"AAAAAG+e3fk=")</f>
        <v>#REF!</v>
      </c>
      <c r="IQ41" s="34" t="e">
        <f>AND(#REF!,"AAAAAG+e3fo=")</f>
        <v>#REF!</v>
      </c>
      <c r="IR41" s="34" t="e">
        <f>AND(#REF!,"AAAAAG+e3fs=")</f>
        <v>#REF!</v>
      </c>
      <c r="IS41" s="34" t="e">
        <f>AND(#REF!,"AAAAAG+e3fw=")</f>
        <v>#REF!</v>
      </c>
      <c r="IT41" s="34" t="e">
        <f>AND(#REF!,"AAAAAG+e3f0=")</f>
        <v>#REF!</v>
      </c>
      <c r="IU41" s="34" t="e">
        <f>AND(#REF!,"AAAAAG+e3f4=")</f>
        <v>#REF!</v>
      </c>
      <c r="IV41" s="34" t="e">
        <f>AND(#REF!,"AAAAAG+e3f8=")</f>
        <v>#REF!</v>
      </c>
    </row>
    <row r="42" spans="1:256" ht="12.75" customHeight="1" x14ac:dyDescent="0.2">
      <c r="A42" s="34" t="e">
        <f>AND(#REF!,"AAAAAF/2xQA=")</f>
        <v>#REF!</v>
      </c>
      <c r="B42" s="34" t="e">
        <f>AND(#REF!,"AAAAAF/2xQE=")</f>
        <v>#REF!</v>
      </c>
      <c r="C42" s="34" t="e">
        <f>AND(#REF!,"AAAAAF/2xQI=")</f>
        <v>#REF!</v>
      </c>
      <c r="D42" s="34" t="e">
        <f>AND(#REF!,"AAAAAF/2xQM=")</f>
        <v>#REF!</v>
      </c>
      <c r="E42" s="34" t="e">
        <f>AND(#REF!,"AAAAAF/2xQQ=")</f>
        <v>#REF!</v>
      </c>
      <c r="F42" s="34" t="e">
        <f>AND(#REF!,"AAAAAF/2xQU=")</f>
        <v>#REF!</v>
      </c>
      <c r="G42" s="34" t="e">
        <f>AND(#REF!,"AAAAAF/2xQY=")</f>
        <v>#REF!</v>
      </c>
      <c r="H42" s="34" t="e">
        <f>AND(#REF!,"AAAAAF/2xQc=")</f>
        <v>#REF!</v>
      </c>
      <c r="I42" s="34" t="e">
        <f>AND(#REF!,"AAAAAF/2xQg=")</f>
        <v>#REF!</v>
      </c>
      <c r="J42" s="34" t="e">
        <f>AND(#REF!,"AAAAAF/2xQk=")</f>
        <v>#REF!</v>
      </c>
      <c r="K42" s="34" t="e">
        <f>AND(#REF!,"AAAAAF/2xQo=")</f>
        <v>#REF!</v>
      </c>
      <c r="L42" s="34" t="e">
        <f>AND(#REF!,"AAAAAF/2xQs=")</f>
        <v>#REF!</v>
      </c>
      <c r="M42" s="34" t="e">
        <f>AND(#REF!,"AAAAAF/2xQw=")</f>
        <v>#REF!</v>
      </c>
      <c r="N42" s="34" t="e">
        <f>AND(#REF!,"AAAAAF/2xQ0=")</f>
        <v>#REF!</v>
      </c>
      <c r="O42" s="34" t="e">
        <f>AND(#REF!,"AAAAAF/2xQ4=")</f>
        <v>#REF!</v>
      </c>
      <c r="P42" s="34" t="e">
        <f>AND(#REF!,"AAAAAF/2xQ8=")</f>
        <v>#REF!</v>
      </c>
      <c r="Q42" s="34" t="e">
        <f>AND(#REF!,"AAAAAF/2xRA=")</f>
        <v>#REF!</v>
      </c>
      <c r="R42" s="34" t="e">
        <f>AND(#REF!,"AAAAAF/2xRE=")</f>
        <v>#REF!</v>
      </c>
      <c r="S42" s="34" t="e">
        <f>AND(#REF!,"AAAAAF/2xRI=")</f>
        <v>#REF!</v>
      </c>
      <c r="T42" s="34" t="e">
        <f>AND(#REF!,"AAAAAF/2xRM=")</f>
        <v>#REF!</v>
      </c>
      <c r="U42" s="34" t="e">
        <f>AND(#REF!,"AAAAAF/2xRQ=")</f>
        <v>#REF!</v>
      </c>
      <c r="V42" s="34" t="e">
        <f>AND(#REF!,"AAAAAF/2xRU=")</f>
        <v>#REF!</v>
      </c>
      <c r="W42" s="34" t="e">
        <f>AND(#REF!,"AAAAAF/2xRY=")</f>
        <v>#REF!</v>
      </c>
      <c r="X42" s="34" t="e">
        <f>AND(#REF!,"AAAAAF/2xRc=")</f>
        <v>#REF!</v>
      </c>
      <c r="Y42" s="34" t="e">
        <f>AND(#REF!,"AAAAAF/2xRg=")</f>
        <v>#REF!</v>
      </c>
      <c r="Z42" s="34" t="e">
        <f>AND(#REF!,"AAAAAF/2xRk=")</f>
        <v>#REF!</v>
      </c>
      <c r="AA42" s="34" t="e">
        <f>AND(#REF!,"AAAAAF/2xRo=")</f>
        <v>#REF!</v>
      </c>
      <c r="AB42" s="34" t="e">
        <f>AND(#REF!,"AAAAAF/2xRs=")</f>
        <v>#REF!</v>
      </c>
      <c r="AC42" s="34" t="e">
        <f>AND(#REF!,"AAAAAF/2xRw=")</f>
        <v>#REF!</v>
      </c>
      <c r="AD42" s="34" t="e">
        <f>AND(#REF!,"AAAAAF/2xR0=")</f>
        <v>#REF!</v>
      </c>
      <c r="AE42" s="34" t="e">
        <f>AND(#REF!,"AAAAAF/2xR4=")</f>
        <v>#REF!</v>
      </c>
      <c r="AF42" s="34" t="e">
        <f>AND(#REF!,"AAAAAF/2xR8=")</f>
        <v>#REF!</v>
      </c>
      <c r="AG42" s="34" t="e">
        <f>AND(#REF!,"AAAAAF/2xSA=")</f>
        <v>#REF!</v>
      </c>
      <c r="AH42" s="34" t="e">
        <f>AND(#REF!,"AAAAAF/2xSE=")</f>
        <v>#REF!</v>
      </c>
      <c r="AI42" s="34" t="e">
        <f>AND(#REF!,"AAAAAF/2xSI=")</f>
        <v>#REF!</v>
      </c>
      <c r="AJ42" s="34" t="e">
        <f>AND(#REF!,"AAAAAF/2xSM=")</f>
        <v>#REF!</v>
      </c>
      <c r="AK42" s="34" t="e">
        <f>AND(#REF!,"AAAAAF/2xSQ=")</f>
        <v>#REF!</v>
      </c>
      <c r="AL42" s="34" t="e">
        <f>AND(#REF!,"AAAAAF/2xSU=")</f>
        <v>#REF!</v>
      </c>
      <c r="AM42" s="34" t="e">
        <f>AND(#REF!,"AAAAAF/2xSY=")</f>
        <v>#REF!</v>
      </c>
      <c r="AN42" s="34" t="e">
        <f>AND(#REF!,"AAAAAF/2xSc=")</f>
        <v>#REF!</v>
      </c>
      <c r="AO42" s="34" t="e">
        <f>AND(#REF!,"AAAAAF/2xSg=")</f>
        <v>#REF!</v>
      </c>
      <c r="AP42" s="34" t="e">
        <f>IF(#REF!,"AAAAAF/2xSk=",0)</f>
        <v>#REF!</v>
      </c>
      <c r="AQ42" s="34" t="e">
        <f>AND(#REF!,"AAAAAF/2xSo=")</f>
        <v>#REF!</v>
      </c>
      <c r="AR42" s="34" t="e">
        <f>AND(#REF!,"AAAAAF/2xSs=")</f>
        <v>#REF!</v>
      </c>
      <c r="AS42" s="34" t="e">
        <f>AND(#REF!,"AAAAAF/2xSw=")</f>
        <v>#REF!</v>
      </c>
      <c r="AT42" s="34" t="e">
        <f>AND(#REF!,"AAAAAF/2xS0=")</f>
        <v>#REF!</v>
      </c>
      <c r="AU42" s="34" t="e">
        <f>AND(#REF!,"AAAAAF/2xS4=")</f>
        <v>#REF!</v>
      </c>
      <c r="AV42" s="34" t="e">
        <f>AND(#REF!,"AAAAAF/2xS8=")</f>
        <v>#REF!</v>
      </c>
      <c r="AW42" s="34" t="e">
        <f>AND(#REF!,"AAAAAF/2xTA=")</f>
        <v>#REF!</v>
      </c>
      <c r="AX42" s="34" t="e">
        <f>AND(#REF!,"AAAAAF/2xTE=")</f>
        <v>#REF!</v>
      </c>
      <c r="AY42" s="34" t="e">
        <f>AND(#REF!,"AAAAAF/2xTI=")</f>
        <v>#REF!</v>
      </c>
      <c r="AZ42" s="34" t="e">
        <f>AND(#REF!,"AAAAAF/2xTM=")</f>
        <v>#REF!</v>
      </c>
      <c r="BA42" s="34" t="e">
        <f>AND(#REF!,"AAAAAF/2xTQ=")</f>
        <v>#REF!</v>
      </c>
      <c r="BB42" s="34" t="e">
        <f>AND(#REF!,"AAAAAF/2xTU=")</f>
        <v>#REF!</v>
      </c>
      <c r="BC42" s="34" t="e">
        <f>AND(#REF!,"AAAAAF/2xTY=")</f>
        <v>#REF!</v>
      </c>
      <c r="BD42" s="34" t="e">
        <f>AND(#REF!,"AAAAAF/2xTc=")</f>
        <v>#REF!</v>
      </c>
      <c r="BE42" s="34" t="e">
        <f>AND(#REF!,"AAAAAF/2xTg=")</f>
        <v>#REF!</v>
      </c>
      <c r="BF42" s="34" t="e">
        <f>AND(#REF!,"AAAAAF/2xTk=")</f>
        <v>#REF!</v>
      </c>
      <c r="BG42" s="34" t="e">
        <f>AND(#REF!,"AAAAAF/2xTo=")</f>
        <v>#REF!</v>
      </c>
      <c r="BH42" s="34" t="e">
        <f>AND(#REF!,"AAAAAF/2xTs=")</f>
        <v>#REF!</v>
      </c>
      <c r="BI42" s="34" t="e">
        <f>AND(#REF!,"AAAAAF/2xTw=")</f>
        <v>#REF!</v>
      </c>
      <c r="BJ42" s="34" t="e">
        <f>AND(#REF!,"AAAAAF/2xT0=")</f>
        <v>#REF!</v>
      </c>
      <c r="BK42" s="34" t="e">
        <f>AND(#REF!,"AAAAAF/2xT4=")</f>
        <v>#REF!</v>
      </c>
      <c r="BL42" s="34" t="e">
        <f>AND(#REF!,"AAAAAF/2xT8=")</f>
        <v>#REF!</v>
      </c>
      <c r="BM42" s="34" t="e">
        <f>AND(#REF!,"AAAAAF/2xUA=")</f>
        <v>#REF!</v>
      </c>
      <c r="BN42" s="34" t="e">
        <f>AND(#REF!,"AAAAAF/2xUE=")</f>
        <v>#REF!</v>
      </c>
      <c r="BO42" s="34" t="e">
        <f>AND(#REF!,"AAAAAF/2xUI=")</f>
        <v>#REF!</v>
      </c>
      <c r="BP42" s="34" t="e">
        <f>AND(#REF!,"AAAAAF/2xUM=")</f>
        <v>#REF!</v>
      </c>
      <c r="BQ42" s="34" t="e">
        <f>AND(#REF!,"AAAAAF/2xUQ=")</f>
        <v>#REF!</v>
      </c>
      <c r="BR42" s="34" t="e">
        <f>AND(#REF!,"AAAAAF/2xUU=")</f>
        <v>#REF!</v>
      </c>
      <c r="BS42" s="34" t="e">
        <f>AND(#REF!,"AAAAAF/2xUY=")</f>
        <v>#REF!</v>
      </c>
      <c r="BT42" s="34" t="e">
        <f>AND(#REF!,"AAAAAF/2xUc=")</f>
        <v>#REF!</v>
      </c>
      <c r="BU42" s="34" t="e">
        <f>AND(#REF!,"AAAAAF/2xUg=")</f>
        <v>#REF!</v>
      </c>
      <c r="BV42" s="34" t="e">
        <f>AND(#REF!,"AAAAAF/2xUk=")</f>
        <v>#REF!</v>
      </c>
      <c r="BW42" s="34" t="e">
        <f>AND(#REF!,"AAAAAF/2xUo=")</f>
        <v>#REF!</v>
      </c>
      <c r="BX42" s="34" t="e">
        <f>AND(#REF!,"AAAAAF/2xUs=")</f>
        <v>#REF!</v>
      </c>
      <c r="BY42" s="34" t="e">
        <f>AND(#REF!,"AAAAAF/2xUw=")</f>
        <v>#REF!</v>
      </c>
      <c r="BZ42" s="34" t="e">
        <f>AND(#REF!,"AAAAAF/2xU0=")</f>
        <v>#REF!</v>
      </c>
      <c r="CA42" s="34" t="e">
        <f>AND(#REF!,"AAAAAF/2xU4=")</f>
        <v>#REF!</v>
      </c>
      <c r="CB42" s="34" t="e">
        <f>AND(#REF!,"AAAAAF/2xU8=")</f>
        <v>#REF!</v>
      </c>
      <c r="CC42" s="34" t="e">
        <f>AND(#REF!,"AAAAAF/2xVA=")</f>
        <v>#REF!</v>
      </c>
      <c r="CD42" s="34" t="e">
        <f>AND(#REF!,"AAAAAF/2xVE=")</f>
        <v>#REF!</v>
      </c>
      <c r="CE42" s="34" t="e">
        <f>AND(#REF!,"AAAAAF/2xVI=")</f>
        <v>#REF!</v>
      </c>
      <c r="CF42" s="34" t="e">
        <f>AND(#REF!,"AAAAAF/2xVM=")</f>
        <v>#REF!</v>
      </c>
      <c r="CG42" s="34" t="e">
        <f>AND(#REF!,"AAAAAF/2xVQ=")</f>
        <v>#REF!</v>
      </c>
      <c r="CH42" s="34" t="e">
        <f>AND(#REF!,"AAAAAF/2xVU=")</f>
        <v>#REF!</v>
      </c>
      <c r="CI42" s="34" t="e">
        <f>AND(#REF!,"AAAAAF/2xVY=")</f>
        <v>#REF!</v>
      </c>
      <c r="CJ42" s="34" t="e">
        <f>AND(#REF!,"AAAAAF/2xVc=")</f>
        <v>#REF!</v>
      </c>
      <c r="CK42" s="34" t="e">
        <f>AND(#REF!,"AAAAAF/2xVg=")</f>
        <v>#REF!</v>
      </c>
      <c r="CL42" s="34" t="e">
        <f>AND(#REF!,"AAAAAF/2xVk=")</f>
        <v>#REF!</v>
      </c>
      <c r="CM42" s="34" t="e">
        <f>AND(#REF!,"AAAAAF/2xVo=")</f>
        <v>#REF!</v>
      </c>
      <c r="CN42" s="34" t="e">
        <f>AND(#REF!,"AAAAAF/2xVs=")</f>
        <v>#REF!</v>
      </c>
      <c r="CO42" s="34" t="e">
        <f>AND(#REF!,"AAAAAF/2xVw=")</f>
        <v>#REF!</v>
      </c>
      <c r="CP42" s="34" t="e">
        <f>AND(#REF!,"AAAAAF/2xV0=")</f>
        <v>#REF!</v>
      </c>
      <c r="CQ42" s="34" t="e">
        <f>AND(#REF!,"AAAAAF/2xV4=")</f>
        <v>#REF!</v>
      </c>
      <c r="CR42" s="34" t="e">
        <f>AND(#REF!,"AAAAAF/2xV8=")</f>
        <v>#REF!</v>
      </c>
      <c r="CS42" s="34" t="e">
        <f>AND(#REF!,"AAAAAF/2xWA=")</f>
        <v>#REF!</v>
      </c>
      <c r="CT42" s="34" t="e">
        <f>AND(#REF!,"AAAAAF/2xWE=")</f>
        <v>#REF!</v>
      </c>
      <c r="CU42" s="34" t="e">
        <f>AND(#REF!,"AAAAAF/2xWI=")</f>
        <v>#REF!</v>
      </c>
      <c r="CV42" s="34" t="e">
        <f>AND(#REF!,"AAAAAF/2xWM=")</f>
        <v>#REF!</v>
      </c>
      <c r="CW42" s="34" t="e">
        <f>AND(#REF!,"AAAAAF/2xWQ=")</f>
        <v>#REF!</v>
      </c>
      <c r="CX42" s="34" t="e">
        <f>AND(#REF!,"AAAAAF/2xWU=")</f>
        <v>#REF!</v>
      </c>
      <c r="CY42" s="34" t="e">
        <f>AND(#REF!,"AAAAAF/2xWY=")</f>
        <v>#REF!</v>
      </c>
      <c r="CZ42" s="34" t="e">
        <f>AND(#REF!,"AAAAAF/2xWc=")</f>
        <v>#REF!</v>
      </c>
      <c r="DA42" s="34" t="e">
        <f>AND(#REF!,"AAAAAF/2xWg=")</f>
        <v>#REF!</v>
      </c>
      <c r="DB42" s="34" t="e">
        <f>AND(#REF!,"AAAAAF/2xWk=")</f>
        <v>#REF!</v>
      </c>
      <c r="DC42" s="34" t="e">
        <f>AND(#REF!,"AAAAAF/2xWo=")</f>
        <v>#REF!</v>
      </c>
      <c r="DD42" s="34" t="e">
        <f>AND(#REF!,"AAAAAF/2xWs=")</f>
        <v>#REF!</v>
      </c>
      <c r="DE42" s="34" t="e">
        <f>AND(#REF!,"AAAAAF/2xWw=")</f>
        <v>#REF!</v>
      </c>
      <c r="DF42" s="34" t="e">
        <f>AND(#REF!,"AAAAAF/2xW0=")</f>
        <v>#REF!</v>
      </c>
      <c r="DG42" s="34" t="e">
        <f>AND(#REF!,"AAAAAF/2xW4=")</f>
        <v>#REF!</v>
      </c>
      <c r="DH42" s="34" t="e">
        <f>AND(#REF!,"AAAAAF/2xW8=")</f>
        <v>#REF!</v>
      </c>
      <c r="DI42" s="34" t="e">
        <f>AND(#REF!,"AAAAAF/2xXA=")</f>
        <v>#REF!</v>
      </c>
      <c r="DJ42" s="34" t="e">
        <f>AND(#REF!,"AAAAAF/2xXE=")</f>
        <v>#REF!</v>
      </c>
      <c r="DK42" s="34" t="e">
        <f>IF(#REF!,"AAAAAF/2xXI=",0)</f>
        <v>#REF!</v>
      </c>
      <c r="DL42" s="34" t="e">
        <f>AND(#REF!,"AAAAAF/2xXM=")</f>
        <v>#REF!</v>
      </c>
      <c r="DM42" s="34" t="e">
        <f>AND(#REF!,"AAAAAF/2xXQ=")</f>
        <v>#REF!</v>
      </c>
      <c r="DN42" s="34" t="e">
        <f>AND(#REF!,"AAAAAF/2xXU=")</f>
        <v>#REF!</v>
      </c>
      <c r="DO42" s="34" t="e">
        <f>AND(#REF!,"AAAAAF/2xXY=")</f>
        <v>#REF!</v>
      </c>
      <c r="DP42" s="34" t="e">
        <f>AND(#REF!,"AAAAAF/2xXc=")</f>
        <v>#REF!</v>
      </c>
      <c r="DQ42" s="34" t="e">
        <f>AND(#REF!,"AAAAAF/2xXg=")</f>
        <v>#REF!</v>
      </c>
      <c r="DR42" s="34" t="e">
        <f>AND(#REF!,"AAAAAF/2xXk=")</f>
        <v>#REF!</v>
      </c>
      <c r="DS42" s="34" t="e">
        <f>AND(#REF!,"AAAAAF/2xXo=")</f>
        <v>#REF!</v>
      </c>
      <c r="DT42" s="34" t="e">
        <f>AND(#REF!,"AAAAAF/2xXs=")</f>
        <v>#REF!</v>
      </c>
      <c r="DU42" s="34" t="e">
        <f>AND(#REF!,"AAAAAF/2xXw=")</f>
        <v>#REF!</v>
      </c>
      <c r="DV42" s="34" t="e">
        <f>AND(#REF!,"AAAAAF/2xX0=")</f>
        <v>#REF!</v>
      </c>
      <c r="DW42" s="34" t="e">
        <f>AND(#REF!,"AAAAAF/2xX4=")</f>
        <v>#REF!</v>
      </c>
      <c r="DX42" s="34" t="e">
        <f>AND(#REF!,"AAAAAF/2xX8=")</f>
        <v>#REF!</v>
      </c>
      <c r="DY42" s="34" t="e">
        <f>AND(#REF!,"AAAAAF/2xYA=")</f>
        <v>#REF!</v>
      </c>
      <c r="DZ42" s="34" t="e">
        <f>AND(#REF!,"AAAAAF/2xYE=")</f>
        <v>#REF!</v>
      </c>
      <c r="EA42" s="34" t="e">
        <f>AND(#REF!,"AAAAAF/2xYI=")</f>
        <v>#REF!</v>
      </c>
      <c r="EB42" s="34" t="e">
        <f>AND(#REF!,"AAAAAF/2xYM=")</f>
        <v>#REF!</v>
      </c>
      <c r="EC42" s="34" t="e">
        <f>AND(#REF!,"AAAAAF/2xYQ=")</f>
        <v>#REF!</v>
      </c>
      <c r="ED42" s="34" t="e">
        <f>AND(#REF!,"AAAAAF/2xYU=")</f>
        <v>#REF!</v>
      </c>
      <c r="EE42" s="34" t="e">
        <f>AND(#REF!,"AAAAAF/2xYY=")</f>
        <v>#REF!</v>
      </c>
      <c r="EF42" s="34" t="e">
        <f>AND(#REF!,"AAAAAF/2xYc=")</f>
        <v>#REF!</v>
      </c>
      <c r="EG42" s="34" t="e">
        <f>AND(#REF!,"AAAAAF/2xYg=")</f>
        <v>#REF!</v>
      </c>
      <c r="EH42" s="34" t="e">
        <f>AND(#REF!,"AAAAAF/2xYk=")</f>
        <v>#REF!</v>
      </c>
      <c r="EI42" s="34" t="e">
        <f>AND(#REF!,"AAAAAF/2xYo=")</f>
        <v>#REF!</v>
      </c>
      <c r="EJ42" s="34" t="e">
        <f>AND(#REF!,"AAAAAF/2xYs=")</f>
        <v>#REF!</v>
      </c>
      <c r="EK42" s="34" t="e">
        <f>AND(#REF!,"AAAAAF/2xYw=")</f>
        <v>#REF!</v>
      </c>
      <c r="EL42" s="34" t="e">
        <f>AND(#REF!,"AAAAAF/2xY0=")</f>
        <v>#REF!</v>
      </c>
      <c r="EM42" s="34" t="e">
        <f>AND(#REF!,"AAAAAF/2xY4=")</f>
        <v>#REF!</v>
      </c>
      <c r="EN42" s="34" t="e">
        <f>AND(#REF!,"AAAAAF/2xY8=")</f>
        <v>#REF!</v>
      </c>
      <c r="EO42" s="34" t="e">
        <f>AND(#REF!,"AAAAAF/2xZA=")</f>
        <v>#REF!</v>
      </c>
      <c r="EP42" s="34" t="e">
        <f>AND(#REF!,"AAAAAF/2xZE=")</f>
        <v>#REF!</v>
      </c>
      <c r="EQ42" s="34" t="e">
        <f>AND(#REF!,"AAAAAF/2xZI=")</f>
        <v>#REF!</v>
      </c>
      <c r="ER42" s="34" t="e">
        <f>AND(#REF!,"AAAAAF/2xZM=")</f>
        <v>#REF!</v>
      </c>
      <c r="ES42" s="34" t="e">
        <f>AND(#REF!,"AAAAAF/2xZQ=")</f>
        <v>#REF!</v>
      </c>
      <c r="ET42" s="34" t="e">
        <f>AND(#REF!,"AAAAAF/2xZU=")</f>
        <v>#REF!</v>
      </c>
      <c r="EU42" s="34" t="e">
        <f>AND(#REF!,"AAAAAF/2xZY=")</f>
        <v>#REF!</v>
      </c>
      <c r="EV42" s="34" t="e">
        <f>AND(#REF!,"AAAAAF/2xZc=")</f>
        <v>#REF!</v>
      </c>
      <c r="EW42" s="34" t="e">
        <f>AND(#REF!,"AAAAAF/2xZg=")</f>
        <v>#REF!</v>
      </c>
      <c r="EX42" s="34" t="e">
        <f>AND(#REF!,"AAAAAF/2xZk=")</f>
        <v>#REF!</v>
      </c>
      <c r="EY42" s="34" t="e">
        <f>AND(#REF!,"AAAAAF/2xZo=")</f>
        <v>#REF!</v>
      </c>
      <c r="EZ42" s="34" t="e">
        <f>AND(#REF!,"AAAAAF/2xZs=")</f>
        <v>#REF!</v>
      </c>
      <c r="FA42" s="34" t="e">
        <f>AND(#REF!,"AAAAAF/2xZw=")</f>
        <v>#REF!</v>
      </c>
      <c r="FB42" s="34" t="e">
        <f>AND(#REF!,"AAAAAF/2xZ0=")</f>
        <v>#REF!</v>
      </c>
      <c r="FC42" s="34" t="e">
        <f>AND(#REF!,"AAAAAF/2xZ4=")</f>
        <v>#REF!</v>
      </c>
      <c r="FD42" s="34" t="e">
        <f>AND(#REF!,"AAAAAF/2xZ8=")</f>
        <v>#REF!</v>
      </c>
      <c r="FE42" s="34" t="e">
        <f>AND(#REF!,"AAAAAF/2xaA=")</f>
        <v>#REF!</v>
      </c>
      <c r="FF42" s="34" t="e">
        <f>AND(#REF!,"AAAAAF/2xaE=")</f>
        <v>#REF!</v>
      </c>
      <c r="FG42" s="34" t="e">
        <f>AND(#REF!,"AAAAAF/2xaI=")</f>
        <v>#REF!</v>
      </c>
      <c r="FH42" s="34" t="e">
        <f>AND(#REF!,"AAAAAF/2xaM=")</f>
        <v>#REF!</v>
      </c>
      <c r="FI42" s="34" t="e">
        <f>AND(#REF!,"AAAAAF/2xaQ=")</f>
        <v>#REF!</v>
      </c>
      <c r="FJ42" s="34" t="e">
        <f>AND(#REF!,"AAAAAF/2xaU=")</f>
        <v>#REF!</v>
      </c>
      <c r="FK42" s="34" t="e">
        <f>AND(#REF!,"AAAAAF/2xaY=")</f>
        <v>#REF!</v>
      </c>
      <c r="FL42" s="34" t="e">
        <f>AND(#REF!,"AAAAAF/2xac=")</f>
        <v>#REF!</v>
      </c>
      <c r="FM42" s="34" t="e">
        <f>AND(#REF!,"AAAAAF/2xag=")</f>
        <v>#REF!</v>
      </c>
      <c r="FN42" s="34" t="e">
        <f>AND(#REF!,"AAAAAF/2xak=")</f>
        <v>#REF!</v>
      </c>
      <c r="FO42" s="34" t="e">
        <f>AND(#REF!,"AAAAAF/2xao=")</f>
        <v>#REF!</v>
      </c>
      <c r="FP42" s="34" t="e">
        <f>AND(#REF!,"AAAAAF/2xas=")</f>
        <v>#REF!</v>
      </c>
      <c r="FQ42" s="34" t="e">
        <f>AND(#REF!,"AAAAAF/2xaw=")</f>
        <v>#REF!</v>
      </c>
      <c r="FR42" s="34" t="e">
        <f>AND(#REF!,"AAAAAF/2xa0=")</f>
        <v>#REF!</v>
      </c>
      <c r="FS42" s="34" t="e">
        <f>AND(#REF!,"AAAAAF/2xa4=")</f>
        <v>#REF!</v>
      </c>
      <c r="FT42" s="34" t="e">
        <f>AND(#REF!,"AAAAAF/2xa8=")</f>
        <v>#REF!</v>
      </c>
      <c r="FU42" s="34" t="e">
        <f>AND(#REF!,"AAAAAF/2xbA=")</f>
        <v>#REF!</v>
      </c>
      <c r="FV42" s="34" t="e">
        <f>AND(#REF!,"AAAAAF/2xbE=")</f>
        <v>#REF!</v>
      </c>
      <c r="FW42" s="34" t="e">
        <f>AND(#REF!,"AAAAAF/2xbI=")</f>
        <v>#REF!</v>
      </c>
      <c r="FX42" s="34" t="e">
        <f>AND(#REF!,"AAAAAF/2xbM=")</f>
        <v>#REF!</v>
      </c>
      <c r="FY42" s="34" t="e">
        <f>AND(#REF!,"AAAAAF/2xbQ=")</f>
        <v>#REF!</v>
      </c>
      <c r="FZ42" s="34" t="e">
        <f>AND(#REF!,"AAAAAF/2xbU=")</f>
        <v>#REF!</v>
      </c>
      <c r="GA42" s="34" t="e">
        <f>AND(#REF!,"AAAAAF/2xbY=")</f>
        <v>#REF!</v>
      </c>
      <c r="GB42" s="34" t="e">
        <f>AND(#REF!,"AAAAAF/2xbc=")</f>
        <v>#REF!</v>
      </c>
      <c r="GC42" s="34" t="e">
        <f>AND(#REF!,"AAAAAF/2xbg=")</f>
        <v>#REF!</v>
      </c>
      <c r="GD42" s="34" t="e">
        <f>AND(#REF!,"AAAAAF/2xbk=")</f>
        <v>#REF!</v>
      </c>
      <c r="GE42" s="34" t="e">
        <f>AND(#REF!,"AAAAAF/2xbo=")</f>
        <v>#REF!</v>
      </c>
      <c r="GF42" s="34" t="e">
        <f>IF(#REF!,"AAAAAF/2xbs=",0)</f>
        <v>#REF!</v>
      </c>
      <c r="GG42" s="34" t="e">
        <f>AND(#REF!,"AAAAAF/2xbw=")</f>
        <v>#REF!</v>
      </c>
      <c r="GH42" s="34" t="e">
        <f>AND(#REF!,"AAAAAF/2xb0=")</f>
        <v>#REF!</v>
      </c>
      <c r="GI42" s="34" t="e">
        <f>AND(#REF!,"AAAAAF/2xb4=")</f>
        <v>#REF!</v>
      </c>
      <c r="GJ42" s="34" t="e">
        <f>AND(#REF!,"AAAAAF/2xb8=")</f>
        <v>#REF!</v>
      </c>
      <c r="GK42" s="34" t="e">
        <f>AND(#REF!,"AAAAAF/2xcA=")</f>
        <v>#REF!</v>
      </c>
      <c r="GL42" s="34" t="e">
        <f>AND(#REF!,"AAAAAF/2xcE=")</f>
        <v>#REF!</v>
      </c>
      <c r="GM42" s="34" t="e">
        <f>AND(#REF!,"AAAAAF/2xcI=")</f>
        <v>#REF!</v>
      </c>
      <c r="GN42" s="34" t="e">
        <f>AND(#REF!,"AAAAAF/2xcM=")</f>
        <v>#REF!</v>
      </c>
      <c r="GO42" s="34" t="e">
        <f>AND(#REF!,"AAAAAF/2xcQ=")</f>
        <v>#REF!</v>
      </c>
      <c r="GP42" s="34" t="e">
        <f>AND(#REF!,"AAAAAF/2xcU=")</f>
        <v>#REF!</v>
      </c>
      <c r="GQ42" s="34" t="e">
        <f>AND(#REF!,"AAAAAF/2xcY=")</f>
        <v>#REF!</v>
      </c>
      <c r="GR42" s="34" t="e">
        <f>AND(#REF!,"AAAAAF/2xcc=")</f>
        <v>#REF!</v>
      </c>
      <c r="GS42" s="34" t="e">
        <f>AND(#REF!,"AAAAAF/2xcg=")</f>
        <v>#REF!</v>
      </c>
      <c r="GT42" s="34" t="e">
        <f>AND(#REF!,"AAAAAF/2xck=")</f>
        <v>#REF!</v>
      </c>
      <c r="GU42" s="34" t="e">
        <f>AND(#REF!,"AAAAAF/2xco=")</f>
        <v>#REF!</v>
      </c>
      <c r="GV42" s="34" t="e">
        <f>AND(#REF!,"AAAAAF/2xcs=")</f>
        <v>#REF!</v>
      </c>
      <c r="GW42" s="34" t="e">
        <f>AND(#REF!,"AAAAAF/2xcw=")</f>
        <v>#REF!</v>
      </c>
      <c r="GX42" s="34" t="e">
        <f>AND(#REF!,"AAAAAF/2xc0=")</f>
        <v>#REF!</v>
      </c>
      <c r="GY42" s="34" t="e">
        <f>AND(#REF!,"AAAAAF/2xc4=")</f>
        <v>#REF!</v>
      </c>
      <c r="GZ42" s="34" t="e">
        <f>AND(#REF!,"AAAAAF/2xc8=")</f>
        <v>#REF!</v>
      </c>
      <c r="HA42" s="34" t="e">
        <f>AND(#REF!,"AAAAAF/2xdA=")</f>
        <v>#REF!</v>
      </c>
      <c r="HB42" s="34" t="e">
        <f>AND(#REF!,"AAAAAF/2xdE=")</f>
        <v>#REF!</v>
      </c>
      <c r="HC42" s="34" t="e">
        <f>AND(#REF!,"AAAAAF/2xdI=")</f>
        <v>#REF!</v>
      </c>
      <c r="HD42" s="34" t="e">
        <f>AND(#REF!,"AAAAAF/2xdM=")</f>
        <v>#REF!</v>
      </c>
      <c r="HE42" s="34" t="e">
        <f>AND(#REF!,"AAAAAF/2xdQ=")</f>
        <v>#REF!</v>
      </c>
      <c r="HF42" s="34" t="e">
        <f>AND(#REF!,"AAAAAF/2xdU=")</f>
        <v>#REF!</v>
      </c>
      <c r="HG42" s="34" t="e">
        <f>AND(#REF!,"AAAAAF/2xdY=")</f>
        <v>#REF!</v>
      </c>
      <c r="HH42" s="34" t="e">
        <f>AND(#REF!,"AAAAAF/2xdc=")</f>
        <v>#REF!</v>
      </c>
      <c r="HI42" s="34" t="e">
        <f>AND(#REF!,"AAAAAF/2xdg=")</f>
        <v>#REF!</v>
      </c>
      <c r="HJ42" s="34" t="e">
        <f>AND(#REF!,"AAAAAF/2xdk=")</f>
        <v>#REF!</v>
      </c>
      <c r="HK42" s="34" t="e">
        <f>AND(#REF!,"AAAAAF/2xdo=")</f>
        <v>#REF!</v>
      </c>
      <c r="HL42" s="34" t="e">
        <f>AND(#REF!,"AAAAAF/2xds=")</f>
        <v>#REF!</v>
      </c>
      <c r="HM42" s="34" t="e">
        <f>AND(#REF!,"AAAAAF/2xdw=")</f>
        <v>#REF!</v>
      </c>
      <c r="HN42" s="34" t="e">
        <f>AND(#REF!,"AAAAAF/2xd0=")</f>
        <v>#REF!</v>
      </c>
      <c r="HO42" s="34" t="e">
        <f>AND(#REF!,"AAAAAF/2xd4=")</f>
        <v>#REF!</v>
      </c>
      <c r="HP42" s="34" t="e">
        <f>AND(#REF!,"AAAAAF/2xd8=")</f>
        <v>#REF!</v>
      </c>
      <c r="HQ42" s="34" t="e">
        <f>AND(#REF!,"AAAAAF/2xeA=")</f>
        <v>#REF!</v>
      </c>
      <c r="HR42" s="34" t="e">
        <f>AND(#REF!,"AAAAAF/2xeE=")</f>
        <v>#REF!</v>
      </c>
      <c r="HS42" s="34" t="e">
        <f>AND(#REF!,"AAAAAF/2xeI=")</f>
        <v>#REF!</v>
      </c>
      <c r="HT42" s="34" t="e">
        <f>AND(#REF!,"AAAAAF/2xeM=")</f>
        <v>#REF!</v>
      </c>
      <c r="HU42" s="34" t="e">
        <f>AND(#REF!,"AAAAAF/2xeQ=")</f>
        <v>#REF!</v>
      </c>
      <c r="HV42" s="34" t="e">
        <f>AND(#REF!,"AAAAAF/2xeU=")</f>
        <v>#REF!</v>
      </c>
      <c r="HW42" s="34" t="e">
        <f>AND(#REF!,"AAAAAF/2xeY=")</f>
        <v>#REF!</v>
      </c>
      <c r="HX42" s="34" t="e">
        <f>AND(#REF!,"AAAAAF/2xec=")</f>
        <v>#REF!</v>
      </c>
      <c r="HY42" s="34" t="e">
        <f>AND(#REF!,"AAAAAF/2xeg=")</f>
        <v>#REF!</v>
      </c>
      <c r="HZ42" s="34" t="e">
        <f>AND(#REF!,"AAAAAF/2xek=")</f>
        <v>#REF!</v>
      </c>
      <c r="IA42" s="34" t="e">
        <f>AND(#REF!,"AAAAAF/2xeo=")</f>
        <v>#REF!</v>
      </c>
      <c r="IB42" s="34" t="e">
        <f>AND(#REF!,"AAAAAF/2xes=")</f>
        <v>#REF!</v>
      </c>
      <c r="IC42" s="34" t="e">
        <f>AND(#REF!,"AAAAAF/2xew=")</f>
        <v>#REF!</v>
      </c>
      <c r="ID42" s="34" t="e">
        <f>AND(#REF!,"AAAAAF/2xe0=")</f>
        <v>#REF!</v>
      </c>
      <c r="IE42" s="34" t="e">
        <f>AND(#REF!,"AAAAAF/2xe4=")</f>
        <v>#REF!</v>
      </c>
      <c r="IF42" s="34" t="e">
        <f>AND(#REF!,"AAAAAF/2xe8=")</f>
        <v>#REF!</v>
      </c>
      <c r="IG42" s="34" t="e">
        <f>AND(#REF!,"AAAAAF/2xfA=")</f>
        <v>#REF!</v>
      </c>
      <c r="IH42" s="34" t="e">
        <f>AND(#REF!,"AAAAAF/2xfE=")</f>
        <v>#REF!</v>
      </c>
      <c r="II42" s="34" t="e">
        <f>AND(#REF!,"AAAAAF/2xfI=")</f>
        <v>#REF!</v>
      </c>
      <c r="IJ42" s="34" t="e">
        <f>AND(#REF!,"AAAAAF/2xfM=")</f>
        <v>#REF!</v>
      </c>
      <c r="IK42" s="34" t="e">
        <f>AND(#REF!,"AAAAAF/2xfQ=")</f>
        <v>#REF!</v>
      </c>
      <c r="IL42" s="34" t="e">
        <f>AND(#REF!,"AAAAAF/2xfU=")</f>
        <v>#REF!</v>
      </c>
      <c r="IM42" s="34" t="e">
        <f>AND(#REF!,"AAAAAF/2xfY=")</f>
        <v>#REF!</v>
      </c>
      <c r="IN42" s="34" t="e">
        <f>AND(#REF!,"AAAAAF/2xfc=")</f>
        <v>#REF!</v>
      </c>
      <c r="IO42" s="34" t="e">
        <f>AND(#REF!,"AAAAAF/2xfg=")</f>
        <v>#REF!</v>
      </c>
      <c r="IP42" s="34" t="e">
        <f>AND(#REF!,"AAAAAF/2xfk=")</f>
        <v>#REF!</v>
      </c>
      <c r="IQ42" s="34" t="e">
        <f>AND(#REF!,"AAAAAF/2xfo=")</f>
        <v>#REF!</v>
      </c>
      <c r="IR42" s="34" t="e">
        <f>AND(#REF!,"AAAAAF/2xfs=")</f>
        <v>#REF!</v>
      </c>
      <c r="IS42" s="34" t="e">
        <f>AND(#REF!,"AAAAAF/2xfw=")</f>
        <v>#REF!</v>
      </c>
      <c r="IT42" s="34" t="e">
        <f>AND(#REF!,"AAAAAF/2xf0=")</f>
        <v>#REF!</v>
      </c>
      <c r="IU42" s="34" t="e">
        <f>AND(#REF!,"AAAAAF/2xf4=")</f>
        <v>#REF!</v>
      </c>
      <c r="IV42" s="34" t="e">
        <f>AND(#REF!,"AAAAAF/2xf8=")</f>
        <v>#REF!</v>
      </c>
    </row>
    <row r="43" spans="1:256" ht="12.75" customHeight="1" x14ac:dyDescent="0.2">
      <c r="A43" s="34" t="e">
        <f>AND(#REF!,"AAAAAGn2dwA=")</f>
        <v>#REF!</v>
      </c>
      <c r="B43" s="34" t="e">
        <f>AND(#REF!,"AAAAAGn2dwE=")</f>
        <v>#REF!</v>
      </c>
      <c r="C43" s="34" t="e">
        <f>AND(#REF!,"AAAAAGn2dwI=")</f>
        <v>#REF!</v>
      </c>
      <c r="D43" s="34" t="e">
        <f>AND(#REF!,"AAAAAGn2dwM=")</f>
        <v>#REF!</v>
      </c>
      <c r="E43" s="34" t="e">
        <f>IF(#REF!,"AAAAAGn2dwQ=",0)</f>
        <v>#REF!</v>
      </c>
      <c r="F43" s="34" t="e">
        <f>AND(#REF!,"AAAAAGn2dwU=")</f>
        <v>#REF!</v>
      </c>
      <c r="G43" s="34" t="e">
        <f>AND(#REF!,"AAAAAGn2dwY=")</f>
        <v>#REF!</v>
      </c>
      <c r="H43" s="34" t="e">
        <f>AND(#REF!,"AAAAAGn2dwc=")</f>
        <v>#REF!</v>
      </c>
      <c r="I43" s="34" t="e">
        <f>AND(#REF!,"AAAAAGn2dwg=")</f>
        <v>#REF!</v>
      </c>
      <c r="J43" s="34" t="e">
        <f>AND(#REF!,"AAAAAGn2dwk=")</f>
        <v>#REF!</v>
      </c>
      <c r="K43" s="34" t="e">
        <f>AND(#REF!,"AAAAAGn2dwo=")</f>
        <v>#REF!</v>
      </c>
      <c r="L43" s="34" t="e">
        <f>AND(#REF!,"AAAAAGn2dws=")</f>
        <v>#REF!</v>
      </c>
      <c r="M43" s="34" t="e">
        <f>AND(#REF!,"AAAAAGn2dww=")</f>
        <v>#REF!</v>
      </c>
      <c r="N43" s="34" t="e">
        <f>AND(#REF!,"AAAAAGn2dw0=")</f>
        <v>#REF!</v>
      </c>
      <c r="O43" s="34" t="e">
        <f>AND(#REF!,"AAAAAGn2dw4=")</f>
        <v>#REF!</v>
      </c>
      <c r="P43" s="34" t="e">
        <f>AND(#REF!,"AAAAAGn2dw8=")</f>
        <v>#REF!</v>
      </c>
      <c r="Q43" s="34" t="e">
        <f>AND(#REF!,"AAAAAGn2dxA=")</f>
        <v>#REF!</v>
      </c>
      <c r="R43" s="34" t="e">
        <f>AND(#REF!,"AAAAAGn2dxE=")</f>
        <v>#REF!</v>
      </c>
      <c r="S43" s="34" t="e">
        <f>AND(#REF!,"AAAAAGn2dxI=")</f>
        <v>#REF!</v>
      </c>
      <c r="T43" s="34" t="e">
        <f>AND(#REF!,"AAAAAGn2dxM=")</f>
        <v>#REF!</v>
      </c>
      <c r="U43" s="34" t="e">
        <f>AND(#REF!,"AAAAAGn2dxQ=")</f>
        <v>#REF!</v>
      </c>
      <c r="V43" s="34" t="e">
        <f>AND(#REF!,"AAAAAGn2dxU=")</f>
        <v>#REF!</v>
      </c>
      <c r="W43" s="34" t="e">
        <f>AND(#REF!,"AAAAAGn2dxY=")</f>
        <v>#REF!</v>
      </c>
      <c r="X43" s="34" t="e">
        <f>AND(#REF!,"AAAAAGn2dxc=")</f>
        <v>#REF!</v>
      </c>
      <c r="Y43" s="34" t="e">
        <f>AND(#REF!,"AAAAAGn2dxg=")</f>
        <v>#REF!</v>
      </c>
      <c r="Z43" s="34" t="e">
        <f>AND(#REF!,"AAAAAGn2dxk=")</f>
        <v>#REF!</v>
      </c>
      <c r="AA43" s="34" t="e">
        <f>AND(#REF!,"AAAAAGn2dxo=")</f>
        <v>#REF!</v>
      </c>
      <c r="AB43" s="34" t="e">
        <f>AND(#REF!,"AAAAAGn2dxs=")</f>
        <v>#REF!</v>
      </c>
      <c r="AC43" s="34" t="e">
        <f>AND(#REF!,"AAAAAGn2dxw=")</f>
        <v>#REF!</v>
      </c>
      <c r="AD43" s="34" t="e">
        <f>AND(#REF!,"AAAAAGn2dx0=")</f>
        <v>#REF!</v>
      </c>
      <c r="AE43" s="34" t="e">
        <f>AND(#REF!,"AAAAAGn2dx4=")</f>
        <v>#REF!</v>
      </c>
      <c r="AF43" s="34" t="e">
        <f>AND(#REF!,"AAAAAGn2dx8=")</f>
        <v>#REF!</v>
      </c>
      <c r="AG43" s="34" t="e">
        <f>AND(#REF!,"AAAAAGn2dyA=")</f>
        <v>#REF!</v>
      </c>
      <c r="AH43" s="34" t="e">
        <f>AND(#REF!,"AAAAAGn2dyE=")</f>
        <v>#REF!</v>
      </c>
      <c r="AI43" s="34" t="e">
        <f>AND(#REF!,"AAAAAGn2dyI=")</f>
        <v>#REF!</v>
      </c>
      <c r="AJ43" s="34" t="e">
        <f>AND(#REF!,"AAAAAGn2dyM=")</f>
        <v>#REF!</v>
      </c>
      <c r="AK43" s="34" t="e">
        <f>AND(#REF!,"AAAAAGn2dyQ=")</f>
        <v>#REF!</v>
      </c>
      <c r="AL43" s="34" t="e">
        <f>AND(#REF!,"AAAAAGn2dyU=")</f>
        <v>#REF!</v>
      </c>
      <c r="AM43" s="34" t="e">
        <f>AND(#REF!,"AAAAAGn2dyY=")</f>
        <v>#REF!</v>
      </c>
      <c r="AN43" s="34" t="e">
        <f>AND(#REF!,"AAAAAGn2dyc=")</f>
        <v>#REF!</v>
      </c>
      <c r="AO43" s="34" t="e">
        <f>AND(#REF!,"AAAAAGn2dyg=")</f>
        <v>#REF!</v>
      </c>
      <c r="AP43" s="34" t="e">
        <f>AND(#REF!,"AAAAAGn2dyk=")</f>
        <v>#REF!</v>
      </c>
      <c r="AQ43" s="34" t="e">
        <f>AND(#REF!,"AAAAAGn2dyo=")</f>
        <v>#REF!</v>
      </c>
      <c r="AR43" s="34" t="e">
        <f>AND(#REF!,"AAAAAGn2dys=")</f>
        <v>#REF!</v>
      </c>
      <c r="AS43" s="34" t="e">
        <f>AND(#REF!,"AAAAAGn2dyw=")</f>
        <v>#REF!</v>
      </c>
      <c r="AT43" s="34" t="e">
        <f>AND(#REF!,"AAAAAGn2dy0=")</f>
        <v>#REF!</v>
      </c>
      <c r="AU43" s="34" t="e">
        <f>AND(#REF!,"AAAAAGn2dy4=")</f>
        <v>#REF!</v>
      </c>
      <c r="AV43" s="34" t="e">
        <f>AND(#REF!,"AAAAAGn2dy8=")</f>
        <v>#REF!</v>
      </c>
      <c r="AW43" s="34" t="e">
        <f>AND(#REF!,"AAAAAGn2dzA=")</f>
        <v>#REF!</v>
      </c>
      <c r="AX43" s="34" t="e">
        <f>AND(#REF!,"AAAAAGn2dzE=")</f>
        <v>#REF!</v>
      </c>
      <c r="AY43" s="34" t="e">
        <f>AND(#REF!,"AAAAAGn2dzI=")</f>
        <v>#REF!</v>
      </c>
      <c r="AZ43" s="34" t="e">
        <f>AND(#REF!,"AAAAAGn2dzM=")</f>
        <v>#REF!</v>
      </c>
      <c r="BA43" s="34" t="e">
        <f>AND(#REF!,"AAAAAGn2dzQ=")</f>
        <v>#REF!</v>
      </c>
      <c r="BB43" s="34" t="e">
        <f>AND(#REF!,"AAAAAGn2dzU=")</f>
        <v>#REF!</v>
      </c>
      <c r="BC43" s="34" t="e">
        <f>AND(#REF!,"AAAAAGn2dzY=")</f>
        <v>#REF!</v>
      </c>
      <c r="BD43" s="34" t="e">
        <f>AND(#REF!,"AAAAAGn2dzc=")</f>
        <v>#REF!</v>
      </c>
      <c r="BE43" s="34" t="e">
        <f>AND(#REF!,"AAAAAGn2dzg=")</f>
        <v>#REF!</v>
      </c>
      <c r="BF43" s="34" t="e">
        <f>AND(#REF!,"AAAAAGn2dzk=")</f>
        <v>#REF!</v>
      </c>
      <c r="BG43" s="34" t="e">
        <f>AND(#REF!,"AAAAAGn2dzo=")</f>
        <v>#REF!</v>
      </c>
      <c r="BH43" s="34" t="e">
        <f>AND(#REF!,"AAAAAGn2dzs=")</f>
        <v>#REF!</v>
      </c>
      <c r="BI43" s="34" t="e">
        <f>AND(#REF!,"AAAAAGn2dzw=")</f>
        <v>#REF!</v>
      </c>
      <c r="BJ43" s="34" t="e">
        <f>AND(#REF!,"AAAAAGn2dz0=")</f>
        <v>#REF!</v>
      </c>
      <c r="BK43" s="34" t="e">
        <f>AND(#REF!,"AAAAAGn2dz4=")</f>
        <v>#REF!</v>
      </c>
      <c r="BL43" s="34" t="e">
        <f>AND(#REF!,"AAAAAGn2dz8=")</f>
        <v>#REF!</v>
      </c>
      <c r="BM43" s="34" t="e">
        <f>AND(#REF!,"AAAAAGn2d0A=")</f>
        <v>#REF!</v>
      </c>
      <c r="BN43" s="34" t="e">
        <f>AND(#REF!,"AAAAAGn2d0E=")</f>
        <v>#REF!</v>
      </c>
      <c r="BO43" s="34" t="e">
        <f>AND(#REF!,"AAAAAGn2d0I=")</f>
        <v>#REF!</v>
      </c>
      <c r="BP43" s="34" t="e">
        <f>AND(#REF!,"AAAAAGn2d0M=")</f>
        <v>#REF!</v>
      </c>
      <c r="BQ43" s="34" t="e">
        <f>AND(#REF!,"AAAAAGn2d0Q=")</f>
        <v>#REF!</v>
      </c>
      <c r="BR43" s="34" t="e">
        <f>AND(#REF!,"AAAAAGn2d0U=")</f>
        <v>#REF!</v>
      </c>
      <c r="BS43" s="34" t="e">
        <f>AND(#REF!,"AAAAAGn2d0Y=")</f>
        <v>#REF!</v>
      </c>
      <c r="BT43" s="34" t="e">
        <f>AND(#REF!,"AAAAAGn2d0c=")</f>
        <v>#REF!</v>
      </c>
      <c r="BU43" s="34" t="e">
        <f>AND(#REF!,"AAAAAGn2d0g=")</f>
        <v>#REF!</v>
      </c>
      <c r="BV43" s="34" t="e">
        <f>AND(#REF!,"AAAAAGn2d0k=")</f>
        <v>#REF!</v>
      </c>
      <c r="BW43" s="34" t="e">
        <f>AND(#REF!,"AAAAAGn2d0o=")</f>
        <v>#REF!</v>
      </c>
      <c r="BX43" s="34" t="e">
        <f>AND(#REF!,"AAAAAGn2d0s=")</f>
        <v>#REF!</v>
      </c>
      <c r="BY43" s="34" t="e">
        <f>AND(#REF!,"AAAAAGn2d0w=")</f>
        <v>#REF!</v>
      </c>
      <c r="BZ43" s="34" t="e">
        <f>IF(#REF!,"AAAAAGn2d00=",0)</f>
        <v>#REF!</v>
      </c>
      <c r="CA43" s="34" t="e">
        <f>AND(#REF!,"AAAAAGn2d04=")</f>
        <v>#REF!</v>
      </c>
      <c r="CB43" s="34" t="e">
        <f>AND(#REF!,"AAAAAGn2d08=")</f>
        <v>#REF!</v>
      </c>
      <c r="CC43" s="34" t="e">
        <f>AND(#REF!,"AAAAAGn2d1A=")</f>
        <v>#REF!</v>
      </c>
      <c r="CD43" s="34" t="e">
        <f>AND(#REF!,"AAAAAGn2d1E=")</f>
        <v>#REF!</v>
      </c>
      <c r="CE43" s="34" t="e">
        <f>AND(#REF!,"AAAAAGn2d1I=")</f>
        <v>#REF!</v>
      </c>
      <c r="CF43" s="34" t="e">
        <f>AND(#REF!,"AAAAAGn2d1M=")</f>
        <v>#REF!</v>
      </c>
      <c r="CG43" s="34" t="e">
        <f>AND(#REF!,"AAAAAGn2d1Q=")</f>
        <v>#REF!</v>
      </c>
      <c r="CH43" s="34" t="e">
        <f>AND(#REF!,"AAAAAGn2d1U=")</f>
        <v>#REF!</v>
      </c>
      <c r="CI43" s="34" t="e">
        <f>AND(#REF!,"AAAAAGn2d1Y=")</f>
        <v>#REF!</v>
      </c>
      <c r="CJ43" s="34" t="e">
        <f>AND(#REF!,"AAAAAGn2d1c=")</f>
        <v>#REF!</v>
      </c>
      <c r="CK43" s="34" t="e">
        <f>AND(#REF!,"AAAAAGn2d1g=")</f>
        <v>#REF!</v>
      </c>
      <c r="CL43" s="34" t="e">
        <f>AND(#REF!,"AAAAAGn2d1k=")</f>
        <v>#REF!</v>
      </c>
      <c r="CM43" s="34" t="e">
        <f>AND(#REF!,"AAAAAGn2d1o=")</f>
        <v>#REF!</v>
      </c>
      <c r="CN43" s="34" t="e">
        <f>AND(#REF!,"AAAAAGn2d1s=")</f>
        <v>#REF!</v>
      </c>
      <c r="CO43" s="34" t="e">
        <f>AND(#REF!,"AAAAAGn2d1w=")</f>
        <v>#REF!</v>
      </c>
      <c r="CP43" s="34" t="e">
        <f>AND(#REF!,"AAAAAGn2d10=")</f>
        <v>#REF!</v>
      </c>
      <c r="CQ43" s="34" t="e">
        <f>AND(#REF!,"AAAAAGn2d14=")</f>
        <v>#REF!</v>
      </c>
      <c r="CR43" s="34" t="e">
        <f>AND(#REF!,"AAAAAGn2d18=")</f>
        <v>#REF!</v>
      </c>
      <c r="CS43" s="34" t="e">
        <f>AND(#REF!,"AAAAAGn2d2A=")</f>
        <v>#REF!</v>
      </c>
      <c r="CT43" s="34" t="e">
        <f>AND(#REF!,"AAAAAGn2d2E=")</f>
        <v>#REF!</v>
      </c>
      <c r="CU43" s="34" t="e">
        <f>AND(#REF!,"AAAAAGn2d2I=")</f>
        <v>#REF!</v>
      </c>
      <c r="CV43" s="34" t="e">
        <f>AND(#REF!,"AAAAAGn2d2M=")</f>
        <v>#REF!</v>
      </c>
      <c r="CW43" s="34" t="e">
        <f>AND(#REF!,"AAAAAGn2d2Q=")</f>
        <v>#REF!</v>
      </c>
      <c r="CX43" s="34" t="e">
        <f>AND(#REF!,"AAAAAGn2d2U=")</f>
        <v>#REF!</v>
      </c>
      <c r="CY43" s="34" t="e">
        <f>AND(#REF!,"AAAAAGn2d2Y=")</f>
        <v>#REF!</v>
      </c>
      <c r="CZ43" s="34" t="e">
        <f>AND(#REF!,"AAAAAGn2d2c=")</f>
        <v>#REF!</v>
      </c>
      <c r="DA43" s="34" t="e">
        <f>AND(#REF!,"AAAAAGn2d2g=")</f>
        <v>#REF!</v>
      </c>
      <c r="DB43" s="34" t="e">
        <f>AND(#REF!,"AAAAAGn2d2k=")</f>
        <v>#REF!</v>
      </c>
      <c r="DC43" s="34" t="e">
        <f>AND(#REF!,"AAAAAGn2d2o=")</f>
        <v>#REF!</v>
      </c>
      <c r="DD43" s="34" t="e">
        <f>AND(#REF!,"AAAAAGn2d2s=")</f>
        <v>#REF!</v>
      </c>
      <c r="DE43" s="34" t="e">
        <f>AND(#REF!,"AAAAAGn2d2w=")</f>
        <v>#REF!</v>
      </c>
      <c r="DF43" s="34" t="e">
        <f>AND(#REF!,"AAAAAGn2d20=")</f>
        <v>#REF!</v>
      </c>
      <c r="DG43" s="34" t="e">
        <f>AND(#REF!,"AAAAAGn2d24=")</f>
        <v>#REF!</v>
      </c>
      <c r="DH43" s="34" t="e">
        <f>AND(#REF!,"AAAAAGn2d28=")</f>
        <v>#REF!</v>
      </c>
      <c r="DI43" s="34" t="e">
        <f>AND(#REF!,"AAAAAGn2d3A=")</f>
        <v>#REF!</v>
      </c>
      <c r="DJ43" s="34" t="e">
        <f>AND(#REF!,"AAAAAGn2d3E=")</f>
        <v>#REF!</v>
      </c>
      <c r="DK43" s="34" t="e">
        <f>AND(#REF!,"AAAAAGn2d3I=")</f>
        <v>#REF!</v>
      </c>
      <c r="DL43" s="34" t="e">
        <f>AND(#REF!,"AAAAAGn2d3M=")</f>
        <v>#REF!</v>
      </c>
      <c r="DM43" s="34" t="e">
        <f>AND(#REF!,"AAAAAGn2d3Q=")</f>
        <v>#REF!</v>
      </c>
      <c r="DN43" s="34" t="e">
        <f>AND(#REF!,"AAAAAGn2d3U=")</f>
        <v>#REF!</v>
      </c>
      <c r="DO43" s="34" t="e">
        <f>AND(#REF!,"AAAAAGn2d3Y=")</f>
        <v>#REF!</v>
      </c>
      <c r="DP43" s="34" t="e">
        <f>AND(#REF!,"AAAAAGn2d3c=")</f>
        <v>#REF!</v>
      </c>
      <c r="DQ43" s="34" t="e">
        <f>AND(#REF!,"AAAAAGn2d3g=")</f>
        <v>#REF!</v>
      </c>
      <c r="DR43" s="34" t="e">
        <f>AND(#REF!,"AAAAAGn2d3k=")</f>
        <v>#REF!</v>
      </c>
      <c r="DS43" s="34" t="e">
        <f>AND(#REF!,"AAAAAGn2d3o=")</f>
        <v>#REF!</v>
      </c>
      <c r="DT43" s="34" t="e">
        <f>AND(#REF!,"AAAAAGn2d3s=")</f>
        <v>#REF!</v>
      </c>
      <c r="DU43" s="34" t="e">
        <f>AND(#REF!,"AAAAAGn2d3w=")</f>
        <v>#REF!</v>
      </c>
      <c r="DV43" s="34" t="e">
        <f>AND(#REF!,"AAAAAGn2d30=")</f>
        <v>#REF!</v>
      </c>
      <c r="DW43" s="34" t="e">
        <f>AND(#REF!,"AAAAAGn2d34=")</f>
        <v>#REF!</v>
      </c>
      <c r="DX43" s="34" t="e">
        <f>AND(#REF!,"AAAAAGn2d38=")</f>
        <v>#REF!</v>
      </c>
      <c r="DY43" s="34" t="e">
        <f>AND(#REF!,"AAAAAGn2d4A=")</f>
        <v>#REF!</v>
      </c>
      <c r="DZ43" s="34" t="e">
        <f>AND(#REF!,"AAAAAGn2d4E=")</f>
        <v>#REF!</v>
      </c>
      <c r="EA43" s="34" t="e">
        <f>AND(#REF!,"AAAAAGn2d4I=")</f>
        <v>#REF!</v>
      </c>
      <c r="EB43" s="34" t="e">
        <f>AND(#REF!,"AAAAAGn2d4M=")</f>
        <v>#REF!</v>
      </c>
      <c r="EC43" s="34" t="e">
        <f>AND(#REF!,"AAAAAGn2d4Q=")</f>
        <v>#REF!</v>
      </c>
      <c r="ED43" s="34" t="e">
        <f>AND(#REF!,"AAAAAGn2d4U=")</f>
        <v>#REF!</v>
      </c>
      <c r="EE43" s="34" t="e">
        <f>AND(#REF!,"AAAAAGn2d4Y=")</f>
        <v>#REF!</v>
      </c>
      <c r="EF43" s="34" t="e">
        <f>AND(#REF!,"AAAAAGn2d4c=")</f>
        <v>#REF!</v>
      </c>
      <c r="EG43" s="34" t="e">
        <f>AND(#REF!,"AAAAAGn2d4g=")</f>
        <v>#REF!</v>
      </c>
      <c r="EH43" s="34" t="e">
        <f>AND(#REF!,"AAAAAGn2d4k=")</f>
        <v>#REF!</v>
      </c>
      <c r="EI43" s="34" t="e">
        <f>AND(#REF!,"AAAAAGn2d4o=")</f>
        <v>#REF!</v>
      </c>
      <c r="EJ43" s="34" t="e">
        <f>AND(#REF!,"AAAAAGn2d4s=")</f>
        <v>#REF!</v>
      </c>
      <c r="EK43" s="34" t="e">
        <f>AND(#REF!,"AAAAAGn2d4w=")</f>
        <v>#REF!</v>
      </c>
      <c r="EL43" s="34" t="e">
        <f>AND(#REF!,"AAAAAGn2d40=")</f>
        <v>#REF!</v>
      </c>
      <c r="EM43" s="34" t="e">
        <f>AND(#REF!,"AAAAAGn2d44=")</f>
        <v>#REF!</v>
      </c>
      <c r="EN43" s="34" t="e">
        <f>AND(#REF!,"AAAAAGn2d48=")</f>
        <v>#REF!</v>
      </c>
      <c r="EO43" s="34" t="e">
        <f>AND(#REF!,"AAAAAGn2d5A=")</f>
        <v>#REF!</v>
      </c>
      <c r="EP43" s="34" t="e">
        <f>AND(#REF!,"AAAAAGn2d5E=")</f>
        <v>#REF!</v>
      </c>
      <c r="EQ43" s="34" t="e">
        <f>AND(#REF!,"AAAAAGn2d5I=")</f>
        <v>#REF!</v>
      </c>
      <c r="ER43" s="34" t="e">
        <f>AND(#REF!,"AAAAAGn2d5M=")</f>
        <v>#REF!</v>
      </c>
      <c r="ES43" s="34" t="e">
        <f>AND(#REF!,"AAAAAGn2d5Q=")</f>
        <v>#REF!</v>
      </c>
      <c r="ET43" s="34" t="e">
        <f>AND(#REF!,"AAAAAGn2d5U=")</f>
        <v>#REF!</v>
      </c>
      <c r="EU43" s="34" t="e">
        <f>IF(#REF!,"AAAAAGn2d5Y=",0)</f>
        <v>#REF!</v>
      </c>
      <c r="EV43" s="34" t="e">
        <f>AND(#REF!,"AAAAAGn2d5c=")</f>
        <v>#REF!</v>
      </c>
      <c r="EW43" s="34" t="e">
        <f>AND(#REF!,"AAAAAGn2d5g=")</f>
        <v>#REF!</v>
      </c>
      <c r="EX43" s="34" t="e">
        <f>AND(#REF!,"AAAAAGn2d5k=")</f>
        <v>#REF!</v>
      </c>
      <c r="EY43" s="34" t="e">
        <f>AND(#REF!,"AAAAAGn2d5o=")</f>
        <v>#REF!</v>
      </c>
      <c r="EZ43" s="34" t="e">
        <f>AND(#REF!,"AAAAAGn2d5s=")</f>
        <v>#REF!</v>
      </c>
      <c r="FA43" s="34" t="e">
        <f>AND(#REF!,"AAAAAGn2d5w=")</f>
        <v>#REF!</v>
      </c>
      <c r="FB43" s="34" t="e">
        <f>AND(#REF!,"AAAAAGn2d50=")</f>
        <v>#REF!</v>
      </c>
      <c r="FC43" s="34" t="e">
        <f>AND(#REF!,"AAAAAGn2d54=")</f>
        <v>#REF!</v>
      </c>
      <c r="FD43" s="34" t="e">
        <f>AND(#REF!,"AAAAAGn2d58=")</f>
        <v>#REF!</v>
      </c>
      <c r="FE43" s="34" t="e">
        <f>AND(#REF!,"AAAAAGn2d6A=")</f>
        <v>#REF!</v>
      </c>
      <c r="FF43" s="34" t="e">
        <f>AND(#REF!,"AAAAAGn2d6E=")</f>
        <v>#REF!</v>
      </c>
      <c r="FG43" s="34" t="e">
        <f>AND(#REF!,"AAAAAGn2d6I=")</f>
        <v>#REF!</v>
      </c>
      <c r="FH43" s="34" t="e">
        <f>AND(#REF!,"AAAAAGn2d6M=")</f>
        <v>#REF!</v>
      </c>
      <c r="FI43" s="34" t="e">
        <f>AND(#REF!,"AAAAAGn2d6Q=")</f>
        <v>#REF!</v>
      </c>
      <c r="FJ43" s="34" t="e">
        <f>AND(#REF!,"AAAAAGn2d6U=")</f>
        <v>#REF!</v>
      </c>
      <c r="FK43" s="34" t="e">
        <f>AND(#REF!,"AAAAAGn2d6Y=")</f>
        <v>#REF!</v>
      </c>
      <c r="FL43" s="34" t="e">
        <f>AND(#REF!,"AAAAAGn2d6c=")</f>
        <v>#REF!</v>
      </c>
      <c r="FM43" s="34" t="e">
        <f>AND(#REF!,"AAAAAGn2d6g=")</f>
        <v>#REF!</v>
      </c>
      <c r="FN43" s="34" t="e">
        <f>AND(#REF!,"AAAAAGn2d6k=")</f>
        <v>#REF!</v>
      </c>
      <c r="FO43" s="34" t="e">
        <f>AND(#REF!,"AAAAAGn2d6o=")</f>
        <v>#REF!</v>
      </c>
      <c r="FP43" s="34" t="e">
        <f>AND(#REF!,"AAAAAGn2d6s=")</f>
        <v>#REF!</v>
      </c>
      <c r="FQ43" s="34" t="e">
        <f>AND(#REF!,"AAAAAGn2d6w=")</f>
        <v>#REF!</v>
      </c>
      <c r="FR43" s="34" t="e">
        <f>AND(#REF!,"AAAAAGn2d60=")</f>
        <v>#REF!</v>
      </c>
      <c r="FS43" s="34" t="e">
        <f>AND(#REF!,"AAAAAGn2d64=")</f>
        <v>#REF!</v>
      </c>
      <c r="FT43" s="34" t="e">
        <f>AND(#REF!,"AAAAAGn2d68=")</f>
        <v>#REF!</v>
      </c>
      <c r="FU43" s="34" t="e">
        <f>AND(#REF!,"AAAAAGn2d7A=")</f>
        <v>#REF!</v>
      </c>
      <c r="FV43" s="34" t="e">
        <f>AND(#REF!,"AAAAAGn2d7E=")</f>
        <v>#REF!</v>
      </c>
      <c r="FW43" s="34" t="e">
        <f>AND(#REF!,"AAAAAGn2d7I=")</f>
        <v>#REF!</v>
      </c>
      <c r="FX43" s="34" t="e">
        <f>AND(#REF!,"AAAAAGn2d7M=")</f>
        <v>#REF!</v>
      </c>
      <c r="FY43" s="34" t="e">
        <f>AND(#REF!,"AAAAAGn2d7Q=")</f>
        <v>#REF!</v>
      </c>
      <c r="FZ43" s="34" t="e">
        <f>AND(#REF!,"AAAAAGn2d7U=")</f>
        <v>#REF!</v>
      </c>
      <c r="GA43" s="34" t="e">
        <f>AND(#REF!,"AAAAAGn2d7Y=")</f>
        <v>#REF!</v>
      </c>
      <c r="GB43" s="34" t="e">
        <f>AND(#REF!,"AAAAAGn2d7c=")</f>
        <v>#REF!</v>
      </c>
      <c r="GC43" s="34" t="e">
        <f>AND(#REF!,"AAAAAGn2d7g=")</f>
        <v>#REF!</v>
      </c>
      <c r="GD43" s="34" t="e">
        <f>AND(#REF!,"AAAAAGn2d7k=")</f>
        <v>#REF!</v>
      </c>
      <c r="GE43" s="34" t="e">
        <f>AND(#REF!,"AAAAAGn2d7o=")</f>
        <v>#REF!</v>
      </c>
      <c r="GF43" s="34" t="e">
        <f>AND(#REF!,"AAAAAGn2d7s=")</f>
        <v>#REF!</v>
      </c>
      <c r="GG43" s="34" t="e">
        <f>AND(#REF!,"AAAAAGn2d7w=")</f>
        <v>#REF!</v>
      </c>
      <c r="GH43" s="34" t="e">
        <f>AND(#REF!,"AAAAAGn2d70=")</f>
        <v>#REF!</v>
      </c>
      <c r="GI43" s="34" t="e">
        <f>AND(#REF!,"AAAAAGn2d74=")</f>
        <v>#REF!</v>
      </c>
      <c r="GJ43" s="34" t="e">
        <f>AND(#REF!,"AAAAAGn2d78=")</f>
        <v>#REF!</v>
      </c>
      <c r="GK43" s="34" t="e">
        <f>AND(#REF!,"AAAAAGn2d8A=")</f>
        <v>#REF!</v>
      </c>
      <c r="GL43" s="34" t="e">
        <f>AND(#REF!,"AAAAAGn2d8E=")</f>
        <v>#REF!</v>
      </c>
      <c r="GM43" s="34" t="e">
        <f>AND(#REF!,"AAAAAGn2d8I=")</f>
        <v>#REF!</v>
      </c>
      <c r="GN43" s="34" t="e">
        <f>AND(#REF!,"AAAAAGn2d8M=")</f>
        <v>#REF!</v>
      </c>
      <c r="GO43" s="34" t="e">
        <f>AND(#REF!,"AAAAAGn2d8Q=")</f>
        <v>#REF!</v>
      </c>
      <c r="GP43" s="34" t="e">
        <f>AND(#REF!,"AAAAAGn2d8U=")</f>
        <v>#REF!</v>
      </c>
      <c r="GQ43" s="34" t="e">
        <f>AND(#REF!,"AAAAAGn2d8Y=")</f>
        <v>#REF!</v>
      </c>
      <c r="GR43" s="34" t="e">
        <f>AND(#REF!,"AAAAAGn2d8c=")</f>
        <v>#REF!</v>
      </c>
      <c r="GS43" s="34" t="e">
        <f>AND(#REF!,"AAAAAGn2d8g=")</f>
        <v>#REF!</v>
      </c>
      <c r="GT43" s="34" t="e">
        <f>AND(#REF!,"AAAAAGn2d8k=")</f>
        <v>#REF!</v>
      </c>
      <c r="GU43" s="34" t="e">
        <f>AND(#REF!,"AAAAAGn2d8o=")</f>
        <v>#REF!</v>
      </c>
      <c r="GV43" s="34" t="e">
        <f>AND(#REF!,"AAAAAGn2d8s=")</f>
        <v>#REF!</v>
      </c>
      <c r="GW43" s="34" t="e">
        <f>AND(#REF!,"AAAAAGn2d8w=")</f>
        <v>#REF!</v>
      </c>
      <c r="GX43" s="34" t="e">
        <f>AND(#REF!,"AAAAAGn2d80=")</f>
        <v>#REF!</v>
      </c>
      <c r="GY43" s="34" t="e">
        <f>AND(#REF!,"AAAAAGn2d84=")</f>
        <v>#REF!</v>
      </c>
      <c r="GZ43" s="34" t="e">
        <f>AND(#REF!,"AAAAAGn2d88=")</f>
        <v>#REF!</v>
      </c>
      <c r="HA43" s="34" t="e">
        <f>AND(#REF!,"AAAAAGn2d9A=")</f>
        <v>#REF!</v>
      </c>
      <c r="HB43" s="34" t="e">
        <f>AND(#REF!,"AAAAAGn2d9E=")</f>
        <v>#REF!</v>
      </c>
      <c r="HC43" s="34" t="e">
        <f>AND(#REF!,"AAAAAGn2d9I=")</f>
        <v>#REF!</v>
      </c>
      <c r="HD43" s="34" t="e">
        <f>AND(#REF!,"AAAAAGn2d9M=")</f>
        <v>#REF!</v>
      </c>
      <c r="HE43" s="34" t="e">
        <f>AND(#REF!,"AAAAAGn2d9Q=")</f>
        <v>#REF!</v>
      </c>
      <c r="HF43" s="34" t="e">
        <f>AND(#REF!,"AAAAAGn2d9U=")</f>
        <v>#REF!</v>
      </c>
      <c r="HG43" s="34" t="e">
        <f>AND(#REF!,"AAAAAGn2d9Y=")</f>
        <v>#REF!</v>
      </c>
      <c r="HH43" s="34" t="e">
        <f>AND(#REF!,"AAAAAGn2d9c=")</f>
        <v>#REF!</v>
      </c>
      <c r="HI43" s="34" t="e">
        <f>AND(#REF!,"AAAAAGn2d9g=")</f>
        <v>#REF!</v>
      </c>
      <c r="HJ43" s="34" t="e">
        <f>AND(#REF!,"AAAAAGn2d9k=")</f>
        <v>#REF!</v>
      </c>
      <c r="HK43" s="34" t="e">
        <f>AND(#REF!,"AAAAAGn2d9o=")</f>
        <v>#REF!</v>
      </c>
      <c r="HL43" s="34" t="e">
        <f>AND(#REF!,"AAAAAGn2d9s=")</f>
        <v>#REF!</v>
      </c>
      <c r="HM43" s="34" t="e">
        <f>AND(#REF!,"AAAAAGn2d9w=")</f>
        <v>#REF!</v>
      </c>
      <c r="HN43" s="34" t="e">
        <f>AND(#REF!,"AAAAAGn2d90=")</f>
        <v>#REF!</v>
      </c>
      <c r="HO43" s="34" t="e">
        <f>AND(#REF!,"AAAAAGn2d94=")</f>
        <v>#REF!</v>
      </c>
      <c r="HP43" s="34" t="e">
        <f>IF(#REF!,"AAAAAGn2d98=",0)</f>
        <v>#REF!</v>
      </c>
      <c r="HQ43" s="34" t="e">
        <f>AND(#REF!,"AAAAAGn2d+A=")</f>
        <v>#REF!</v>
      </c>
      <c r="HR43" s="34" t="e">
        <f>AND(#REF!,"AAAAAGn2d+E=")</f>
        <v>#REF!</v>
      </c>
      <c r="HS43" s="34" t="e">
        <f>AND(#REF!,"AAAAAGn2d+I=")</f>
        <v>#REF!</v>
      </c>
      <c r="HT43" s="34" t="e">
        <f>AND(#REF!,"AAAAAGn2d+M=")</f>
        <v>#REF!</v>
      </c>
      <c r="HU43" s="34" t="e">
        <f>AND(#REF!,"AAAAAGn2d+Q=")</f>
        <v>#REF!</v>
      </c>
      <c r="HV43" s="34" t="e">
        <f>AND(#REF!,"AAAAAGn2d+U=")</f>
        <v>#REF!</v>
      </c>
      <c r="HW43" s="34" t="e">
        <f>AND(#REF!,"AAAAAGn2d+Y=")</f>
        <v>#REF!</v>
      </c>
      <c r="HX43" s="34" t="e">
        <f>AND(#REF!,"AAAAAGn2d+c=")</f>
        <v>#REF!</v>
      </c>
      <c r="HY43" s="34" t="e">
        <f>AND(#REF!,"AAAAAGn2d+g=")</f>
        <v>#REF!</v>
      </c>
      <c r="HZ43" s="34" t="e">
        <f>AND(#REF!,"AAAAAGn2d+k=")</f>
        <v>#REF!</v>
      </c>
      <c r="IA43" s="34" t="e">
        <f>AND(#REF!,"AAAAAGn2d+o=")</f>
        <v>#REF!</v>
      </c>
      <c r="IB43" s="34" t="e">
        <f>AND(#REF!,"AAAAAGn2d+s=")</f>
        <v>#REF!</v>
      </c>
      <c r="IC43" s="34" t="e">
        <f>AND(#REF!,"AAAAAGn2d+w=")</f>
        <v>#REF!</v>
      </c>
      <c r="ID43" s="34" t="e">
        <f>AND(#REF!,"AAAAAGn2d+0=")</f>
        <v>#REF!</v>
      </c>
      <c r="IE43" s="34" t="e">
        <f>AND(#REF!,"AAAAAGn2d+4=")</f>
        <v>#REF!</v>
      </c>
      <c r="IF43" s="34" t="e">
        <f>AND(#REF!,"AAAAAGn2d+8=")</f>
        <v>#REF!</v>
      </c>
      <c r="IG43" s="34" t="e">
        <f>AND(#REF!,"AAAAAGn2d/A=")</f>
        <v>#REF!</v>
      </c>
      <c r="IH43" s="34" t="e">
        <f>AND(#REF!,"AAAAAGn2d/E=")</f>
        <v>#REF!</v>
      </c>
      <c r="II43" s="34" t="e">
        <f>AND(#REF!,"AAAAAGn2d/I=")</f>
        <v>#REF!</v>
      </c>
      <c r="IJ43" s="34" t="e">
        <f>AND(#REF!,"AAAAAGn2d/M=")</f>
        <v>#REF!</v>
      </c>
      <c r="IK43" s="34" t="e">
        <f>AND(#REF!,"AAAAAGn2d/Q=")</f>
        <v>#REF!</v>
      </c>
      <c r="IL43" s="34" t="e">
        <f>AND(#REF!,"AAAAAGn2d/U=")</f>
        <v>#REF!</v>
      </c>
      <c r="IM43" s="34" t="e">
        <f>AND(#REF!,"AAAAAGn2d/Y=")</f>
        <v>#REF!</v>
      </c>
      <c r="IN43" s="34" t="e">
        <f>AND(#REF!,"AAAAAGn2d/c=")</f>
        <v>#REF!</v>
      </c>
      <c r="IO43" s="34" t="e">
        <f>AND(#REF!,"AAAAAGn2d/g=")</f>
        <v>#REF!</v>
      </c>
      <c r="IP43" s="34" t="e">
        <f>AND(#REF!,"AAAAAGn2d/k=")</f>
        <v>#REF!</v>
      </c>
      <c r="IQ43" s="34" t="e">
        <f>AND(#REF!,"AAAAAGn2d/o=")</f>
        <v>#REF!</v>
      </c>
      <c r="IR43" s="34" t="e">
        <f>AND(#REF!,"AAAAAGn2d/s=")</f>
        <v>#REF!</v>
      </c>
      <c r="IS43" s="34" t="e">
        <f>AND(#REF!,"AAAAAGn2d/w=")</f>
        <v>#REF!</v>
      </c>
      <c r="IT43" s="34" t="e">
        <f>AND(#REF!,"AAAAAGn2d/0=")</f>
        <v>#REF!</v>
      </c>
      <c r="IU43" s="34" t="e">
        <f>AND(#REF!,"AAAAAGn2d/4=")</f>
        <v>#REF!</v>
      </c>
      <c r="IV43" s="34" t="e">
        <f>AND(#REF!,"AAAAAGn2d/8=")</f>
        <v>#REF!</v>
      </c>
    </row>
    <row r="44" spans="1:256" ht="12.75" customHeight="1" x14ac:dyDescent="0.2">
      <c r="A44" s="34" t="e">
        <f>AND(#REF!,"AAAAAB/4swA=")</f>
        <v>#REF!</v>
      </c>
      <c r="B44" s="34" t="e">
        <f>AND(#REF!,"AAAAAB/4swE=")</f>
        <v>#REF!</v>
      </c>
      <c r="C44" s="34" t="e">
        <f>AND(#REF!,"AAAAAB/4swI=")</f>
        <v>#REF!</v>
      </c>
      <c r="D44" s="34" t="e">
        <f>AND(#REF!,"AAAAAB/4swM=")</f>
        <v>#REF!</v>
      </c>
      <c r="E44" s="34" t="e">
        <f>AND(#REF!,"AAAAAB/4swQ=")</f>
        <v>#REF!</v>
      </c>
      <c r="F44" s="34" t="e">
        <f>AND(#REF!,"AAAAAB/4swU=")</f>
        <v>#REF!</v>
      </c>
      <c r="G44" s="34" t="e">
        <f>AND(#REF!,"AAAAAB/4swY=")</f>
        <v>#REF!</v>
      </c>
      <c r="H44" s="34" t="e">
        <f>AND(#REF!,"AAAAAB/4swc=")</f>
        <v>#REF!</v>
      </c>
      <c r="I44" s="34" t="e">
        <f>AND(#REF!,"AAAAAB/4swg=")</f>
        <v>#REF!</v>
      </c>
      <c r="J44" s="34" t="e">
        <f>AND(#REF!,"AAAAAB/4swk=")</f>
        <v>#REF!</v>
      </c>
      <c r="K44" s="34" t="e">
        <f>AND(#REF!,"AAAAAB/4swo=")</f>
        <v>#REF!</v>
      </c>
      <c r="L44" s="34" t="e">
        <f>AND(#REF!,"AAAAAB/4sws=")</f>
        <v>#REF!</v>
      </c>
      <c r="M44" s="34" t="e">
        <f>AND(#REF!,"AAAAAB/4sww=")</f>
        <v>#REF!</v>
      </c>
      <c r="N44" s="34" t="e">
        <f>AND(#REF!,"AAAAAB/4sw0=")</f>
        <v>#REF!</v>
      </c>
      <c r="O44" s="34" t="e">
        <f>AND(#REF!,"AAAAAB/4sw4=")</f>
        <v>#REF!</v>
      </c>
      <c r="P44" s="34" t="e">
        <f>AND(#REF!,"AAAAAB/4sw8=")</f>
        <v>#REF!</v>
      </c>
      <c r="Q44" s="34" t="e">
        <f>AND(#REF!,"AAAAAB/4sxA=")</f>
        <v>#REF!</v>
      </c>
      <c r="R44" s="34" t="e">
        <f>AND(#REF!,"AAAAAB/4sxE=")</f>
        <v>#REF!</v>
      </c>
      <c r="S44" s="34" t="e">
        <f>AND(#REF!,"AAAAAB/4sxI=")</f>
        <v>#REF!</v>
      </c>
      <c r="T44" s="34" t="e">
        <f>AND(#REF!,"AAAAAB/4sxM=")</f>
        <v>#REF!</v>
      </c>
      <c r="U44" s="34" t="e">
        <f>AND(#REF!,"AAAAAB/4sxQ=")</f>
        <v>#REF!</v>
      </c>
      <c r="V44" s="34" t="e">
        <f>AND(#REF!,"AAAAAB/4sxU=")</f>
        <v>#REF!</v>
      </c>
      <c r="W44" s="34" t="e">
        <f>AND(#REF!,"AAAAAB/4sxY=")</f>
        <v>#REF!</v>
      </c>
      <c r="X44" s="34" t="e">
        <f>AND(#REF!,"AAAAAB/4sxc=")</f>
        <v>#REF!</v>
      </c>
      <c r="Y44" s="34" t="e">
        <f>AND(#REF!,"AAAAAB/4sxg=")</f>
        <v>#REF!</v>
      </c>
      <c r="Z44" s="34" t="e">
        <f>AND(#REF!,"AAAAAB/4sxk=")</f>
        <v>#REF!</v>
      </c>
      <c r="AA44" s="34" t="e">
        <f>AND(#REF!,"AAAAAB/4sxo=")</f>
        <v>#REF!</v>
      </c>
      <c r="AB44" s="34" t="e">
        <f>AND(#REF!,"AAAAAB/4sxs=")</f>
        <v>#REF!</v>
      </c>
      <c r="AC44" s="34" t="e">
        <f>AND(#REF!,"AAAAAB/4sxw=")</f>
        <v>#REF!</v>
      </c>
      <c r="AD44" s="34" t="e">
        <f>AND(#REF!,"AAAAAB/4sx0=")</f>
        <v>#REF!</v>
      </c>
      <c r="AE44" s="34" t="e">
        <f>AND(#REF!,"AAAAAB/4sx4=")</f>
        <v>#REF!</v>
      </c>
      <c r="AF44" s="34" t="e">
        <f>AND(#REF!,"AAAAAB/4sx8=")</f>
        <v>#REF!</v>
      </c>
      <c r="AG44" s="34" t="e">
        <f>AND(#REF!,"AAAAAB/4syA=")</f>
        <v>#REF!</v>
      </c>
      <c r="AH44" s="34" t="e">
        <f>AND(#REF!,"AAAAAB/4syE=")</f>
        <v>#REF!</v>
      </c>
      <c r="AI44" s="34" t="e">
        <f>AND(#REF!,"AAAAAB/4syI=")</f>
        <v>#REF!</v>
      </c>
      <c r="AJ44" s="34" t="e">
        <f>AND(#REF!,"AAAAAB/4syM=")</f>
        <v>#REF!</v>
      </c>
      <c r="AK44" s="34" t="e">
        <f>AND(#REF!,"AAAAAB/4syQ=")</f>
        <v>#REF!</v>
      </c>
      <c r="AL44" s="34" t="e">
        <f>AND(#REF!,"AAAAAB/4syU=")</f>
        <v>#REF!</v>
      </c>
      <c r="AM44" s="34" t="e">
        <f>AND(#REF!,"AAAAAB/4syY=")</f>
        <v>#REF!</v>
      </c>
      <c r="AN44" s="34" t="e">
        <f>AND(#REF!,"AAAAAB/4syc=")</f>
        <v>#REF!</v>
      </c>
      <c r="AO44" s="34" t="e">
        <f>IF(#REF!,"AAAAAB/4syg=",0)</f>
        <v>#REF!</v>
      </c>
      <c r="AP44" s="34" t="e">
        <f>AND(#REF!,"AAAAAB/4syk=")</f>
        <v>#REF!</v>
      </c>
      <c r="AQ44" s="34" t="e">
        <f>AND(#REF!,"AAAAAB/4syo=")</f>
        <v>#REF!</v>
      </c>
      <c r="AR44" s="34" t="e">
        <f>AND(#REF!,"AAAAAB/4sys=")</f>
        <v>#REF!</v>
      </c>
      <c r="AS44" s="34" t="e">
        <f>AND(#REF!,"AAAAAB/4syw=")</f>
        <v>#REF!</v>
      </c>
      <c r="AT44" s="34" t="e">
        <f>AND(#REF!,"AAAAAB/4sy0=")</f>
        <v>#REF!</v>
      </c>
      <c r="AU44" s="34" t="e">
        <f>AND(#REF!,"AAAAAB/4sy4=")</f>
        <v>#REF!</v>
      </c>
      <c r="AV44" s="34" t="e">
        <f>AND(#REF!,"AAAAAB/4sy8=")</f>
        <v>#REF!</v>
      </c>
      <c r="AW44" s="34" t="e">
        <f>AND(#REF!,"AAAAAB/4szA=")</f>
        <v>#REF!</v>
      </c>
      <c r="AX44" s="34" t="e">
        <f>AND(#REF!,"AAAAAB/4szE=")</f>
        <v>#REF!</v>
      </c>
      <c r="AY44" s="34" t="e">
        <f>AND(#REF!,"AAAAAB/4szI=")</f>
        <v>#REF!</v>
      </c>
      <c r="AZ44" s="34" t="e">
        <f>AND(#REF!,"AAAAAB/4szM=")</f>
        <v>#REF!</v>
      </c>
      <c r="BA44" s="34" t="e">
        <f>AND(#REF!,"AAAAAB/4szQ=")</f>
        <v>#REF!</v>
      </c>
      <c r="BB44" s="34" t="e">
        <f>AND(#REF!,"AAAAAB/4szU=")</f>
        <v>#REF!</v>
      </c>
      <c r="BC44" s="34" t="e">
        <f>AND(#REF!,"AAAAAB/4szY=")</f>
        <v>#REF!</v>
      </c>
      <c r="BD44" s="34" t="e">
        <f>AND(#REF!,"AAAAAB/4szc=")</f>
        <v>#REF!</v>
      </c>
      <c r="BE44" s="34" t="e">
        <f>AND(#REF!,"AAAAAB/4szg=")</f>
        <v>#REF!</v>
      </c>
      <c r="BF44" s="34" t="e">
        <f>AND(#REF!,"AAAAAB/4szk=")</f>
        <v>#REF!</v>
      </c>
      <c r="BG44" s="34" t="e">
        <f>AND(#REF!,"AAAAAB/4szo=")</f>
        <v>#REF!</v>
      </c>
      <c r="BH44" s="34" t="e">
        <f>AND(#REF!,"AAAAAB/4szs=")</f>
        <v>#REF!</v>
      </c>
      <c r="BI44" s="34" t="e">
        <f>AND(#REF!,"AAAAAB/4szw=")</f>
        <v>#REF!</v>
      </c>
      <c r="BJ44" s="34" t="e">
        <f>AND(#REF!,"AAAAAB/4sz0=")</f>
        <v>#REF!</v>
      </c>
      <c r="BK44" s="34" t="e">
        <f>AND(#REF!,"AAAAAB/4sz4=")</f>
        <v>#REF!</v>
      </c>
      <c r="BL44" s="34" t="e">
        <f>AND(#REF!,"AAAAAB/4sz8=")</f>
        <v>#REF!</v>
      </c>
      <c r="BM44" s="34" t="e">
        <f>AND(#REF!,"AAAAAB/4s0A=")</f>
        <v>#REF!</v>
      </c>
      <c r="BN44" s="34" t="e">
        <f>AND(#REF!,"AAAAAB/4s0E=")</f>
        <v>#REF!</v>
      </c>
      <c r="BO44" s="34" t="e">
        <f>AND(#REF!,"AAAAAB/4s0I=")</f>
        <v>#REF!</v>
      </c>
      <c r="BP44" s="34" t="e">
        <f>AND(#REF!,"AAAAAB/4s0M=")</f>
        <v>#REF!</v>
      </c>
      <c r="BQ44" s="34" t="e">
        <f>AND(#REF!,"AAAAAB/4s0Q=")</f>
        <v>#REF!</v>
      </c>
      <c r="BR44" s="34" t="e">
        <f>AND(#REF!,"AAAAAB/4s0U=")</f>
        <v>#REF!</v>
      </c>
      <c r="BS44" s="34" t="e">
        <f>AND(#REF!,"AAAAAB/4s0Y=")</f>
        <v>#REF!</v>
      </c>
      <c r="BT44" s="34" t="e">
        <f>AND(#REF!,"AAAAAB/4s0c=")</f>
        <v>#REF!</v>
      </c>
      <c r="BU44" s="34" t="e">
        <f>AND(#REF!,"AAAAAB/4s0g=")</f>
        <v>#REF!</v>
      </c>
      <c r="BV44" s="34" t="e">
        <f>AND(#REF!,"AAAAAB/4s0k=")</f>
        <v>#REF!</v>
      </c>
      <c r="BW44" s="34" t="e">
        <f>AND(#REF!,"AAAAAB/4s0o=")</f>
        <v>#REF!</v>
      </c>
      <c r="BX44" s="34" t="e">
        <f>AND(#REF!,"AAAAAB/4s0s=")</f>
        <v>#REF!</v>
      </c>
      <c r="BY44" s="34" t="e">
        <f>AND(#REF!,"AAAAAB/4s0w=")</f>
        <v>#REF!</v>
      </c>
      <c r="BZ44" s="34" t="e">
        <f>AND(#REF!,"AAAAAB/4s00=")</f>
        <v>#REF!</v>
      </c>
      <c r="CA44" s="34" t="e">
        <f>AND(#REF!,"AAAAAB/4s04=")</f>
        <v>#REF!</v>
      </c>
      <c r="CB44" s="34" t="e">
        <f>AND(#REF!,"AAAAAB/4s08=")</f>
        <v>#REF!</v>
      </c>
      <c r="CC44" s="34" t="e">
        <f>AND(#REF!,"AAAAAB/4s1A=")</f>
        <v>#REF!</v>
      </c>
      <c r="CD44" s="34" t="e">
        <f>AND(#REF!,"AAAAAB/4s1E=")</f>
        <v>#REF!</v>
      </c>
      <c r="CE44" s="34" t="e">
        <f>AND(#REF!,"AAAAAB/4s1I=")</f>
        <v>#REF!</v>
      </c>
      <c r="CF44" s="34" t="e">
        <f>AND(#REF!,"AAAAAB/4s1M=")</f>
        <v>#REF!</v>
      </c>
      <c r="CG44" s="34" t="e">
        <f>AND(#REF!,"AAAAAB/4s1Q=")</f>
        <v>#REF!</v>
      </c>
      <c r="CH44" s="34" t="e">
        <f>AND(#REF!,"AAAAAB/4s1U=")</f>
        <v>#REF!</v>
      </c>
      <c r="CI44" s="34" t="e">
        <f>AND(#REF!,"AAAAAB/4s1Y=")</f>
        <v>#REF!</v>
      </c>
      <c r="CJ44" s="34" t="e">
        <f>AND(#REF!,"AAAAAB/4s1c=")</f>
        <v>#REF!</v>
      </c>
      <c r="CK44" s="34" t="e">
        <f>AND(#REF!,"AAAAAB/4s1g=")</f>
        <v>#REF!</v>
      </c>
      <c r="CL44" s="34" t="e">
        <f>AND(#REF!,"AAAAAB/4s1k=")</f>
        <v>#REF!</v>
      </c>
      <c r="CM44" s="34" t="e">
        <f>AND(#REF!,"AAAAAB/4s1o=")</f>
        <v>#REF!</v>
      </c>
      <c r="CN44" s="34" t="e">
        <f>AND(#REF!,"AAAAAB/4s1s=")</f>
        <v>#REF!</v>
      </c>
      <c r="CO44" s="34" t="e">
        <f>AND(#REF!,"AAAAAB/4s1w=")</f>
        <v>#REF!</v>
      </c>
      <c r="CP44" s="34" t="e">
        <f>AND(#REF!,"AAAAAB/4s10=")</f>
        <v>#REF!</v>
      </c>
      <c r="CQ44" s="34" t="e">
        <f>AND(#REF!,"AAAAAB/4s14=")</f>
        <v>#REF!</v>
      </c>
      <c r="CR44" s="34" t="e">
        <f>AND(#REF!,"AAAAAB/4s18=")</f>
        <v>#REF!</v>
      </c>
      <c r="CS44" s="34" t="e">
        <f>AND(#REF!,"AAAAAB/4s2A=")</f>
        <v>#REF!</v>
      </c>
      <c r="CT44" s="34" t="e">
        <f>AND(#REF!,"AAAAAB/4s2E=")</f>
        <v>#REF!</v>
      </c>
      <c r="CU44" s="34" t="e">
        <f>AND(#REF!,"AAAAAB/4s2I=")</f>
        <v>#REF!</v>
      </c>
      <c r="CV44" s="34" t="e">
        <f>AND(#REF!,"AAAAAB/4s2M=")</f>
        <v>#REF!</v>
      </c>
      <c r="CW44" s="34" t="e">
        <f>AND(#REF!,"AAAAAB/4s2Q=")</f>
        <v>#REF!</v>
      </c>
      <c r="CX44" s="34" t="e">
        <f>AND(#REF!,"AAAAAB/4s2U=")</f>
        <v>#REF!</v>
      </c>
      <c r="CY44" s="34" t="e">
        <f>AND(#REF!,"AAAAAB/4s2Y=")</f>
        <v>#REF!</v>
      </c>
      <c r="CZ44" s="34" t="e">
        <f>AND(#REF!,"AAAAAB/4s2c=")</f>
        <v>#REF!</v>
      </c>
      <c r="DA44" s="34" t="e">
        <f>AND(#REF!,"AAAAAB/4s2g=")</f>
        <v>#REF!</v>
      </c>
      <c r="DB44" s="34" t="e">
        <f>AND(#REF!,"AAAAAB/4s2k=")</f>
        <v>#REF!</v>
      </c>
      <c r="DC44" s="34" t="e">
        <f>AND(#REF!,"AAAAAB/4s2o=")</f>
        <v>#REF!</v>
      </c>
      <c r="DD44" s="34" t="e">
        <f>AND(#REF!,"AAAAAB/4s2s=")</f>
        <v>#REF!</v>
      </c>
      <c r="DE44" s="34" t="e">
        <f>AND(#REF!,"AAAAAB/4s2w=")</f>
        <v>#REF!</v>
      </c>
      <c r="DF44" s="34" t="e">
        <f>AND(#REF!,"AAAAAB/4s20=")</f>
        <v>#REF!</v>
      </c>
      <c r="DG44" s="34" t="e">
        <f>AND(#REF!,"AAAAAB/4s24=")</f>
        <v>#REF!</v>
      </c>
      <c r="DH44" s="34" t="e">
        <f>AND(#REF!,"AAAAAB/4s28=")</f>
        <v>#REF!</v>
      </c>
      <c r="DI44" s="34" t="e">
        <f>AND(#REF!,"AAAAAB/4s3A=")</f>
        <v>#REF!</v>
      </c>
      <c r="DJ44" s="34" t="e">
        <f>IF(#REF!,"AAAAAB/4s3E=",0)</f>
        <v>#REF!</v>
      </c>
      <c r="DK44" s="34" t="e">
        <f>AND(#REF!,"AAAAAB/4s3I=")</f>
        <v>#REF!</v>
      </c>
      <c r="DL44" s="34" t="e">
        <f>AND(#REF!,"AAAAAB/4s3M=")</f>
        <v>#REF!</v>
      </c>
      <c r="DM44" s="34" t="e">
        <f>AND(#REF!,"AAAAAB/4s3Q=")</f>
        <v>#REF!</v>
      </c>
      <c r="DN44" s="34" t="e">
        <f>AND(#REF!,"AAAAAB/4s3U=")</f>
        <v>#REF!</v>
      </c>
      <c r="DO44" s="34" t="e">
        <f>AND(#REF!,"AAAAAB/4s3Y=")</f>
        <v>#REF!</v>
      </c>
      <c r="DP44" s="34" t="e">
        <f>AND(#REF!,"AAAAAB/4s3c=")</f>
        <v>#REF!</v>
      </c>
      <c r="DQ44" s="34" t="e">
        <f>AND(#REF!,"AAAAAB/4s3g=")</f>
        <v>#REF!</v>
      </c>
      <c r="DR44" s="34" t="e">
        <f>AND(#REF!,"AAAAAB/4s3k=")</f>
        <v>#REF!</v>
      </c>
      <c r="DS44" s="34" t="e">
        <f>AND(#REF!,"AAAAAB/4s3o=")</f>
        <v>#REF!</v>
      </c>
      <c r="DT44" s="34" t="e">
        <f>AND(#REF!,"AAAAAB/4s3s=")</f>
        <v>#REF!</v>
      </c>
      <c r="DU44" s="34" t="e">
        <f>AND(#REF!,"AAAAAB/4s3w=")</f>
        <v>#REF!</v>
      </c>
      <c r="DV44" s="34" t="e">
        <f>AND(#REF!,"AAAAAB/4s30=")</f>
        <v>#REF!</v>
      </c>
      <c r="DW44" s="34" t="e">
        <f>AND(#REF!,"AAAAAB/4s34=")</f>
        <v>#REF!</v>
      </c>
      <c r="DX44" s="34" t="e">
        <f>AND(#REF!,"AAAAAB/4s38=")</f>
        <v>#REF!</v>
      </c>
      <c r="DY44" s="34" t="e">
        <f>AND(#REF!,"AAAAAB/4s4A=")</f>
        <v>#REF!</v>
      </c>
      <c r="DZ44" s="34" t="e">
        <f>AND(#REF!,"AAAAAB/4s4E=")</f>
        <v>#REF!</v>
      </c>
      <c r="EA44" s="34" t="e">
        <f>AND(#REF!,"AAAAAB/4s4I=")</f>
        <v>#REF!</v>
      </c>
      <c r="EB44" s="34" t="e">
        <f>AND(#REF!,"AAAAAB/4s4M=")</f>
        <v>#REF!</v>
      </c>
      <c r="EC44" s="34" t="e">
        <f>AND(#REF!,"AAAAAB/4s4Q=")</f>
        <v>#REF!</v>
      </c>
      <c r="ED44" s="34" t="e">
        <f>AND(#REF!,"AAAAAB/4s4U=")</f>
        <v>#REF!</v>
      </c>
      <c r="EE44" s="34" t="e">
        <f>AND(#REF!,"AAAAAB/4s4Y=")</f>
        <v>#REF!</v>
      </c>
      <c r="EF44" s="34" t="e">
        <f>AND(#REF!,"AAAAAB/4s4c=")</f>
        <v>#REF!</v>
      </c>
      <c r="EG44" s="34" t="e">
        <f>AND(#REF!,"AAAAAB/4s4g=")</f>
        <v>#REF!</v>
      </c>
      <c r="EH44" s="34" t="e">
        <f>AND(#REF!,"AAAAAB/4s4k=")</f>
        <v>#REF!</v>
      </c>
      <c r="EI44" s="34" t="e">
        <f>AND(#REF!,"AAAAAB/4s4o=")</f>
        <v>#REF!</v>
      </c>
      <c r="EJ44" s="34" t="e">
        <f>AND(#REF!,"AAAAAB/4s4s=")</f>
        <v>#REF!</v>
      </c>
      <c r="EK44" s="34" t="e">
        <f>AND(#REF!,"AAAAAB/4s4w=")</f>
        <v>#REF!</v>
      </c>
      <c r="EL44" s="34" t="e">
        <f>AND(#REF!,"AAAAAB/4s40=")</f>
        <v>#REF!</v>
      </c>
      <c r="EM44" s="34" t="e">
        <f>AND(#REF!,"AAAAAB/4s44=")</f>
        <v>#REF!</v>
      </c>
      <c r="EN44" s="34" t="e">
        <f>AND(#REF!,"AAAAAB/4s48=")</f>
        <v>#REF!</v>
      </c>
      <c r="EO44" s="34" t="e">
        <f>AND(#REF!,"AAAAAB/4s5A=")</f>
        <v>#REF!</v>
      </c>
      <c r="EP44" s="34" t="e">
        <f>AND(#REF!,"AAAAAB/4s5E=")</f>
        <v>#REF!</v>
      </c>
      <c r="EQ44" s="34" t="e">
        <f>AND(#REF!,"AAAAAB/4s5I=")</f>
        <v>#REF!</v>
      </c>
      <c r="ER44" s="34" t="e">
        <f>AND(#REF!,"AAAAAB/4s5M=")</f>
        <v>#REF!</v>
      </c>
      <c r="ES44" s="34" t="e">
        <f>AND(#REF!,"AAAAAB/4s5Q=")</f>
        <v>#REF!</v>
      </c>
      <c r="ET44" s="34" t="e">
        <f>AND(#REF!,"AAAAAB/4s5U=")</f>
        <v>#REF!</v>
      </c>
      <c r="EU44" s="34" t="e">
        <f>AND(#REF!,"AAAAAB/4s5Y=")</f>
        <v>#REF!</v>
      </c>
      <c r="EV44" s="34" t="e">
        <f>AND(#REF!,"AAAAAB/4s5c=")</f>
        <v>#REF!</v>
      </c>
      <c r="EW44" s="34" t="e">
        <f>AND(#REF!,"AAAAAB/4s5g=")</f>
        <v>#REF!</v>
      </c>
      <c r="EX44" s="34" t="e">
        <f>AND(#REF!,"AAAAAB/4s5k=")</f>
        <v>#REF!</v>
      </c>
      <c r="EY44" s="34" t="e">
        <f>AND(#REF!,"AAAAAB/4s5o=")</f>
        <v>#REF!</v>
      </c>
      <c r="EZ44" s="34" t="e">
        <f>AND(#REF!,"AAAAAB/4s5s=")</f>
        <v>#REF!</v>
      </c>
      <c r="FA44" s="34" t="e">
        <f>AND(#REF!,"AAAAAB/4s5w=")</f>
        <v>#REF!</v>
      </c>
      <c r="FB44" s="34" t="e">
        <f>AND(#REF!,"AAAAAB/4s50=")</f>
        <v>#REF!</v>
      </c>
      <c r="FC44" s="34" t="e">
        <f>AND(#REF!,"AAAAAB/4s54=")</f>
        <v>#REF!</v>
      </c>
      <c r="FD44" s="34" t="e">
        <f>AND(#REF!,"AAAAAB/4s58=")</f>
        <v>#REF!</v>
      </c>
      <c r="FE44" s="34" t="e">
        <f>AND(#REF!,"AAAAAB/4s6A=")</f>
        <v>#REF!</v>
      </c>
      <c r="FF44" s="34" t="e">
        <f>AND(#REF!,"AAAAAB/4s6E=")</f>
        <v>#REF!</v>
      </c>
      <c r="FG44" s="34" t="e">
        <f>AND(#REF!,"AAAAAB/4s6I=")</f>
        <v>#REF!</v>
      </c>
      <c r="FH44" s="34" t="e">
        <f>AND(#REF!,"AAAAAB/4s6M=")</f>
        <v>#REF!</v>
      </c>
      <c r="FI44" s="34" t="e">
        <f>AND(#REF!,"AAAAAB/4s6Q=")</f>
        <v>#REF!</v>
      </c>
      <c r="FJ44" s="34" t="e">
        <f>AND(#REF!,"AAAAAB/4s6U=")</f>
        <v>#REF!</v>
      </c>
      <c r="FK44" s="34" t="e">
        <f>AND(#REF!,"AAAAAB/4s6Y=")</f>
        <v>#REF!</v>
      </c>
      <c r="FL44" s="34" t="e">
        <f>AND(#REF!,"AAAAAB/4s6c=")</f>
        <v>#REF!</v>
      </c>
      <c r="FM44" s="34" t="e">
        <f>AND(#REF!,"AAAAAB/4s6g=")</f>
        <v>#REF!</v>
      </c>
      <c r="FN44" s="34" t="e">
        <f>AND(#REF!,"AAAAAB/4s6k=")</f>
        <v>#REF!</v>
      </c>
      <c r="FO44" s="34" t="e">
        <f>AND(#REF!,"AAAAAB/4s6o=")</f>
        <v>#REF!</v>
      </c>
      <c r="FP44" s="34" t="e">
        <f>AND(#REF!,"AAAAAB/4s6s=")</f>
        <v>#REF!</v>
      </c>
      <c r="FQ44" s="34" t="e">
        <f>AND(#REF!,"AAAAAB/4s6w=")</f>
        <v>#REF!</v>
      </c>
      <c r="FR44" s="34" t="e">
        <f>AND(#REF!,"AAAAAB/4s60=")</f>
        <v>#REF!</v>
      </c>
      <c r="FS44" s="34" t="e">
        <f>AND(#REF!,"AAAAAB/4s64=")</f>
        <v>#REF!</v>
      </c>
      <c r="FT44" s="34" t="e">
        <f>AND(#REF!,"AAAAAB/4s68=")</f>
        <v>#REF!</v>
      </c>
      <c r="FU44" s="34" t="e">
        <f>AND(#REF!,"AAAAAB/4s7A=")</f>
        <v>#REF!</v>
      </c>
      <c r="FV44" s="34" t="e">
        <f>AND(#REF!,"AAAAAB/4s7E=")</f>
        <v>#REF!</v>
      </c>
      <c r="FW44" s="34" t="e">
        <f>AND(#REF!,"AAAAAB/4s7I=")</f>
        <v>#REF!</v>
      </c>
      <c r="FX44" s="34" t="e">
        <f>AND(#REF!,"AAAAAB/4s7M=")</f>
        <v>#REF!</v>
      </c>
      <c r="FY44" s="34" t="e">
        <f>AND(#REF!,"AAAAAB/4s7Q=")</f>
        <v>#REF!</v>
      </c>
      <c r="FZ44" s="34" t="e">
        <f>AND(#REF!,"AAAAAB/4s7U=")</f>
        <v>#REF!</v>
      </c>
      <c r="GA44" s="34" t="e">
        <f>AND(#REF!,"AAAAAB/4s7Y=")</f>
        <v>#REF!</v>
      </c>
      <c r="GB44" s="34" t="e">
        <f>AND(#REF!,"AAAAAB/4s7c=")</f>
        <v>#REF!</v>
      </c>
      <c r="GC44" s="34" t="e">
        <f>AND(#REF!,"AAAAAB/4s7g=")</f>
        <v>#REF!</v>
      </c>
      <c r="GD44" s="34" t="e">
        <f>AND(#REF!,"AAAAAB/4s7k=")</f>
        <v>#REF!</v>
      </c>
      <c r="GE44" s="34" t="e">
        <f>IF(#REF!,"AAAAAB/4s7o=",0)</f>
        <v>#REF!</v>
      </c>
      <c r="GF44" s="34" t="e">
        <f>AND(#REF!,"AAAAAB/4s7s=")</f>
        <v>#REF!</v>
      </c>
      <c r="GG44" s="34" t="e">
        <f>AND(#REF!,"AAAAAB/4s7w=")</f>
        <v>#REF!</v>
      </c>
      <c r="GH44" s="34" t="e">
        <f>AND(#REF!,"AAAAAB/4s70=")</f>
        <v>#REF!</v>
      </c>
      <c r="GI44" s="34" t="e">
        <f>AND(#REF!,"AAAAAB/4s74=")</f>
        <v>#REF!</v>
      </c>
      <c r="GJ44" s="34" t="e">
        <f>AND(#REF!,"AAAAAB/4s78=")</f>
        <v>#REF!</v>
      </c>
      <c r="GK44" s="34" t="e">
        <f>AND(#REF!,"AAAAAB/4s8A=")</f>
        <v>#REF!</v>
      </c>
      <c r="GL44" s="34" t="e">
        <f>AND(#REF!,"AAAAAB/4s8E=")</f>
        <v>#REF!</v>
      </c>
      <c r="GM44" s="34" t="e">
        <f>AND(#REF!,"AAAAAB/4s8I=")</f>
        <v>#REF!</v>
      </c>
      <c r="GN44" s="34" t="e">
        <f>AND(#REF!,"AAAAAB/4s8M=")</f>
        <v>#REF!</v>
      </c>
      <c r="GO44" s="34" t="e">
        <f>AND(#REF!,"AAAAAB/4s8Q=")</f>
        <v>#REF!</v>
      </c>
      <c r="GP44" s="34" t="e">
        <f>AND(#REF!,"AAAAAB/4s8U=")</f>
        <v>#REF!</v>
      </c>
      <c r="GQ44" s="34" t="e">
        <f>AND(#REF!,"AAAAAB/4s8Y=")</f>
        <v>#REF!</v>
      </c>
      <c r="GR44" s="34" t="e">
        <f>AND(#REF!,"AAAAAB/4s8c=")</f>
        <v>#REF!</v>
      </c>
      <c r="GS44" s="34" t="e">
        <f>AND(#REF!,"AAAAAB/4s8g=")</f>
        <v>#REF!</v>
      </c>
      <c r="GT44" s="34" t="e">
        <f>AND(#REF!,"AAAAAB/4s8k=")</f>
        <v>#REF!</v>
      </c>
      <c r="GU44" s="34" t="e">
        <f>AND(#REF!,"AAAAAB/4s8o=")</f>
        <v>#REF!</v>
      </c>
      <c r="GV44" s="34" t="e">
        <f>AND(#REF!,"AAAAAB/4s8s=")</f>
        <v>#REF!</v>
      </c>
      <c r="GW44" s="34" t="e">
        <f>AND(#REF!,"AAAAAB/4s8w=")</f>
        <v>#REF!</v>
      </c>
      <c r="GX44" s="34" t="e">
        <f>AND(#REF!,"AAAAAB/4s80=")</f>
        <v>#REF!</v>
      </c>
      <c r="GY44" s="34" t="e">
        <f>AND(#REF!,"AAAAAB/4s84=")</f>
        <v>#REF!</v>
      </c>
      <c r="GZ44" s="34" t="e">
        <f>AND(#REF!,"AAAAAB/4s88=")</f>
        <v>#REF!</v>
      </c>
      <c r="HA44" s="34" t="e">
        <f>AND(#REF!,"AAAAAB/4s9A=")</f>
        <v>#REF!</v>
      </c>
      <c r="HB44" s="34" t="e">
        <f>AND(#REF!,"AAAAAB/4s9E=")</f>
        <v>#REF!</v>
      </c>
      <c r="HC44" s="34" t="e">
        <f>AND(#REF!,"AAAAAB/4s9I=")</f>
        <v>#REF!</v>
      </c>
      <c r="HD44" s="34" t="e">
        <f>AND(#REF!,"AAAAAB/4s9M=")</f>
        <v>#REF!</v>
      </c>
      <c r="HE44" s="34" t="e">
        <f>AND(#REF!,"AAAAAB/4s9Q=")</f>
        <v>#REF!</v>
      </c>
      <c r="HF44" s="34" t="e">
        <f>AND(#REF!,"AAAAAB/4s9U=")</f>
        <v>#REF!</v>
      </c>
      <c r="HG44" s="34" t="e">
        <f>AND(#REF!,"AAAAAB/4s9Y=")</f>
        <v>#REF!</v>
      </c>
      <c r="HH44" s="34" t="e">
        <f>AND(#REF!,"AAAAAB/4s9c=")</f>
        <v>#REF!</v>
      </c>
      <c r="HI44" s="34" t="e">
        <f>AND(#REF!,"AAAAAB/4s9g=")</f>
        <v>#REF!</v>
      </c>
      <c r="HJ44" s="34" t="e">
        <f>AND(#REF!,"AAAAAB/4s9k=")</f>
        <v>#REF!</v>
      </c>
      <c r="HK44" s="34" t="e">
        <f>AND(#REF!,"AAAAAB/4s9o=")</f>
        <v>#REF!</v>
      </c>
      <c r="HL44" s="34" t="e">
        <f>AND(#REF!,"AAAAAB/4s9s=")</f>
        <v>#REF!</v>
      </c>
      <c r="HM44" s="34" t="e">
        <f>AND(#REF!,"AAAAAB/4s9w=")</f>
        <v>#REF!</v>
      </c>
      <c r="HN44" s="34" t="e">
        <f>AND(#REF!,"AAAAAB/4s90=")</f>
        <v>#REF!</v>
      </c>
      <c r="HO44" s="34" t="e">
        <f>AND(#REF!,"AAAAAB/4s94=")</f>
        <v>#REF!</v>
      </c>
      <c r="HP44" s="34" t="e">
        <f>AND(#REF!,"AAAAAB/4s98=")</f>
        <v>#REF!</v>
      </c>
      <c r="HQ44" s="34" t="e">
        <f>AND(#REF!,"AAAAAB/4s+A=")</f>
        <v>#REF!</v>
      </c>
      <c r="HR44" s="34" t="e">
        <f>AND(#REF!,"AAAAAB/4s+E=")</f>
        <v>#REF!</v>
      </c>
      <c r="HS44" s="34" t="e">
        <f>AND(#REF!,"AAAAAB/4s+I=")</f>
        <v>#REF!</v>
      </c>
      <c r="HT44" s="34" t="e">
        <f>AND(#REF!,"AAAAAB/4s+M=")</f>
        <v>#REF!</v>
      </c>
      <c r="HU44" s="34" t="e">
        <f>AND(#REF!,"AAAAAB/4s+Q=")</f>
        <v>#REF!</v>
      </c>
      <c r="HV44" s="34" t="e">
        <f>AND(#REF!,"AAAAAB/4s+U=")</f>
        <v>#REF!</v>
      </c>
      <c r="HW44" s="34" t="e">
        <f>AND(#REF!,"AAAAAB/4s+Y=")</f>
        <v>#REF!</v>
      </c>
      <c r="HX44" s="34" t="e">
        <f>AND(#REF!,"AAAAAB/4s+c=")</f>
        <v>#REF!</v>
      </c>
      <c r="HY44" s="34" t="e">
        <f>AND(#REF!,"AAAAAB/4s+g=")</f>
        <v>#REF!</v>
      </c>
      <c r="HZ44" s="34" t="e">
        <f>AND(#REF!,"AAAAAB/4s+k=")</f>
        <v>#REF!</v>
      </c>
      <c r="IA44" s="34" t="e">
        <f>AND(#REF!,"AAAAAB/4s+o=")</f>
        <v>#REF!</v>
      </c>
      <c r="IB44" s="34" t="e">
        <f>AND(#REF!,"AAAAAB/4s+s=")</f>
        <v>#REF!</v>
      </c>
      <c r="IC44" s="34" t="e">
        <f>AND(#REF!,"AAAAAB/4s+w=")</f>
        <v>#REF!</v>
      </c>
      <c r="ID44" s="34" t="e">
        <f>AND(#REF!,"AAAAAB/4s+0=")</f>
        <v>#REF!</v>
      </c>
      <c r="IE44" s="34" t="e">
        <f>AND(#REF!,"AAAAAB/4s+4=")</f>
        <v>#REF!</v>
      </c>
      <c r="IF44" s="34" t="e">
        <f>AND(#REF!,"AAAAAB/4s+8=")</f>
        <v>#REF!</v>
      </c>
      <c r="IG44" s="34" t="e">
        <f>AND(#REF!,"AAAAAB/4s/A=")</f>
        <v>#REF!</v>
      </c>
      <c r="IH44" s="34" t="e">
        <f>AND(#REF!,"AAAAAB/4s/E=")</f>
        <v>#REF!</v>
      </c>
      <c r="II44" s="34" t="e">
        <f>AND(#REF!,"AAAAAB/4s/I=")</f>
        <v>#REF!</v>
      </c>
      <c r="IJ44" s="34" t="e">
        <f>AND(#REF!,"AAAAAB/4s/M=")</f>
        <v>#REF!</v>
      </c>
      <c r="IK44" s="34" t="e">
        <f>AND(#REF!,"AAAAAB/4s/Q=")</f>
        <v>#REF!</v>
      </c>
      <c r="IL44" s="34" t="e">
        <f>AND(#REF!,"AAAAAB/4s/U=")</f>
        <v>#REF!</v>
      </c>
      <c r="IM44" s="34" t="e">
        <f>AND(#REF!,"AAAAAB/4s/Y=")</f>
        <v>#REF!</v>
      </c>
      <c r="IN44" s="34" t="e">
        <f>AND(#REF!,"AAAAAB/4s/c=")</f>
        <v>#REF!</v>
      </c>
      <c r="IO44" s="34" t="e">
        <f>AND(#REF!,"AAAAAB/4s/g=")</f>
        <v>#REF!</v>
      </c>
      <c r="IP44" s="34" t="e">
        <f>AND(#REF!,"AAAAAB/4s/k=")</f>
        <v>#REF!</v>
      </c>
      <c r="IQ44" s="34" t="e">
        <f>AND(#REF!,"AAAAAB/4s/o=")</f>
        <v>#REF!</v>
      </c>
      <c r="IR44" s="34" t="e">
        <f>AND(#REF!,"AAAAAB/4s/s=")</f>
        <v>#REF!</v>
      </c>
      <c r="IS44" s="34" t="e">
        <f>AND(#REF!,"AAAAAB/4s/w=")</f>
        <v>#REF!</v>
      </c>
      <c r="IT44" s="34" t="e">
        <f>AND(#REF!,"AAAAAB/4s/0=")</f>
        <v>#REF!</v>
      </c>
      <c r="IU44" s="34" t="e">
        <f>AND(#REF!,"AAAAAB/4s/4=")</f>
        <v>#REF!</v>
      </c>
      <c r="IV44" s="34" t="e">
        <f>AND(#REF!,"AAAAAB/4s/8=")</f>
        <v>#REF!</v>
      </c>
    </row>
    <row r="45" spans="1:256" ht="12.75" customHeight="1" x14ac:dyDescent="0.2">
      <c r="A45" s="34" t="e">
        <f>AND(#REF!,"AAAAAH6/nAA=")</f>
        <v>#REF!</v>
      </c>
      <c r="B45" s="34" t="e">
        <f>AND(#REF!,"AAAAAH6/nAE=")</f>
        <v>#REF!</v>
      </c>
      <c r="C45" s="34" t="e">
        <f>AND(#REF!,"AAAAAH6/nAI=")</f>
        <v>#REF!</v>
      </c>
      <c r="D45" s="34" t="e">
        <f>IF(#REF!,"AAAAAH6/nAM=",0)</f>
        <v>#REF!</v>
      </c>
      <c r="E45" s="34" t="e">
        <f>AND(#REF!,"AAAAAH6/nAQ=")</f>
        <v>#REF!</v>
      </c>
      <c r="F45" s="34" t="e">
        <f>AND(#REF!,"AAAAAH6/nAU=")</f>
        <v>#REF!</v>
      </c>
      <c r="G45" s="34" t="e">
        <f>AND(#REF!,"AAAAAH6/nAY=")</f>
        <v>#REF!</v>
      </c>
      <c r="H45" s="34" t="e">
        <f>AND(#REF!,"AAAAAH6/nAc=")</f>
        <v>#REF!</v>
      </c>
      <c r="I45" s="34" t="e">
        <f>AND(#REF!,"AAAAAH6/nAg=")</f>
        <v>#REF!</v>
      </c>
      <c r="J45" s="34" t="e">
        <f>AND(#REF!,"AAAAAH6/nAk=")</f>
        <v>#REF!</v>
      </c>
      <c r="K45" s="34" t="e">
        <f>AND(#REF!,"AAAAAH6/nAo=")</f>
        <v>#REF!</v>
      </c>
      <c r="L45" s="34" t="e">
        <f>AND(#REF!,"AAAAAH6/nAs=")</f>
        <v>#REF!</v>
      </c>
      <c r="M45" s="34" t="e">
        <f>AND(#REF!,"AAAAAH6/nAw=")</f>
        <v>#REF!</v>
      </c>
      <c r="N45" s="34" t="e">
        <f>AND(#REF!,"AAAAAH6/nA0=")</f>
        <v>#REF!</v>
      </c>
      <c r="O45" s="34" t="e">
        <f>AND(#REF!,"AAAAAH6/nA4=")</f>
        <v>#REF!</v>
      </c>
      <c r="P45" s="34" t="e">
        <f>AND(#REF!,"AAAAAH6/nA8=")</f>
        <v>#REF!</v>
      </c>
      <c r="Q45" s="34" t="e">
        <f>AND(#REF!,"AAAAAH6/nBA=")</f>
        <v>#REF!</v>
      </c>
      <c r="R45" s="34" t="e">
        <f>AND(#REF!,"AAAAAH6/nBE=")</f>
        <v>#REF!</v>
      </c>
      <c r="S45" s="34" t="e">
        <f>AND(#REF!,"AAAAAH6/nBI=")</f>
        <v>#REF!</v>
      </c>
      <c r="T45" s="34" t="e">
        <f>AND(#REF!,"AAAAAH6/nBM=")</f>
        <v>#REF!</v>
      </c>
      <c r="U45" s="34" t="e">
        <f>AND(#REF!,"AAAAAH6/nBQ=")</f>
        <v>#REF!</v>
      </c>
      <c r="V45" s="34" t="e">
        <f>AND(#REF!,"AAAAAH6/nBU=")</f>
        <v>#REF!</v>
      </c>
      <c r="W45" s="34" t="e">
        <f>AND(#REF!,"AAAAAH6/nBY=")</f>
        <v>#REF!</v>
      </c>
      <c r="X45" s="34" t="e">
        <f>AND(#REF!,"AAAAAH6/nBc=")</f>
        <v>#REF!</v>
      </c>
      <c r="Y45" s="34" t="e">
        <f>AND(#REF!,"AAAAAH6/nBg=")</f>
        <v>#REF!</v>
      </c>
      <c r="Z45" s="34" t="e">
        <f>AND(#REF!,"AAAAAH6/nBk=")</f>
        <v>#REF!</v>
      </c>
      <c r="AA45" s="34" t="e">
        <f>AND(#REF!,"AAAAAH6/nBo=")</f>
        <v>#REF!</v>
      </c>
      <c r="AB45" s="34" t="e">
        <f>AND(#REF!,"AAAAAH6/nBs=")</f>
        <v>#REF!</v>
      </c>
      <c r="AC45" s="34" t="e">
        <f>AND(#REF!,"AAAAAH6/nBw=")</f>
        <v>#REF!</v>
      </c>
      <c r="AD45" s="34" t="e">
        <f>AND(#REF!,"AAAAAH6/nB0=")</f>
        <v>#REF!</v>
      </c>
      <c r="AE45" s="34" t="e">
        <f>AND(#REF!,"AAAAAH6/nB4=")</f>
        <v>#REF!</v>
      </c>
      <c r="AF45" s="34" t="e">
        <f>AND(#REF!,"AAAAAH6/nB8=")</f>
        <v>#REF!</v>
      </c>
      <c r="AG45" s="34" t="e">
        <f>AND(#REF!,"AAAAAH6/nCA=")</f>
        <v>#REF!</v>
      </c>
      <c r="AH45" s="34" t="e">
        <f>AND(#REF!,"AAAAAH6/nCE=")</f>
        <v>#REF!</v>
      </c>
      <c r="AI45" s="34" t="e">
        <f>AND(#REF!,"AAAAAH6/nCI=")</f>
        <v>#REF!</v>
      </c>
      <c r="AJ45" s="34" t="e">
        <f>AND(#REF!,"AAAAAH6/nCM=")</f>
        <v>#REF!</v>
      </c>
      <c r="AK45" s="34" t="e">
        <f>AND(#REF!,"AAAAAH6/nCQ=")</f>
        <v>#REF!</v>
      </c>
      <c r="AL45" s="34" t="e">
        <f>AND(#REF!,"AAAAAH6/nCU=")</f>
        <v>#REF!</v>
      </c>
      <c r="AM45" s="34" t="e">
        <f>AND(#REF!,"AAAAAH6/nCY=")</f>
        <v>#REF!</v>
      </c>
      <c r="AN45" s="34" t="e">
        <f>AND(#REF!,"AAAAAH6/nCc=")</f>
        <v>#REF!</v>
      </c>
      <c r="AO45" s="34" t="e">
        <f>AND(#REF!,"AAAAAH6/nCg=")</f>
        <v>#REF!</v>
      </c>
      <c r="AP45" s="34" t="e">
        <f>AND(#REF!,"AAAAAH6/nCk=")</f>
        <v>#REF!</v>
      </c>
      <c r="AQ45" s="34" t="e">
        <f>AND(#REF!,"AAAAAH6/nCo=")</f>
        <v>#REF!</v>
      </c>
      <c r="AR45" s="34" t="e">
        <f>AND(#REF!,"AAAAAH6/nCs=")</f>
        <v>#REF!</v>
      </c>
      <c r="AS45" s="34" t="e">
        <f>AND(#REF!,"AAAAAH6/nCw=")</f>
        <v>#REF!</v>
      </c>
      <c r="AT45" s="34" t="e">
        <f>AND(#REF!,"AAAAAH6/nC0=")</f>
        <v>#REF!</v>
      </c>
      <c r="AU45" s="34" t="e">
        <f>AND(#REF!,"AAAAAH6/nC4=")</f>
        <v>#REF!</v>
      </c>
      <c r="AV45" s="34" t="e">
        <f>AND(#REF!,"AAAAAH6/nC8=")</f>
        <v>#REF!</v>
      </c>
      <c r="AW45" s="34" t="e">
        <f>AND(#REF!,"AAAAAH6/nDA=")</f>
        <v>#REF!</v>
      </c>
      <c r="AX45" s="34" t="e">
        <f>AND(#REF!,"AAAAAH6/nDE=")</f>
        <v>#REF!</v>
      </c>
      <c r="AY45" s="34" t="e">
        <f>AND(#REF!,"AAAAAH6/nDI=")</f>
        <v>#REF!</v>
      </c>
      <c r="AZ45" s="34" t="e">
        <f>AND(#REF!,"AAAAAH6/nDM=")</f>
        <v>#REF!</v>
      </c>
      <c r="BA45" s="34" t="e">
        <f>AND(#REF!,"AAAAAH6/nDQ=")</f>
        <v>#REF!</v>
      </c>
      <c r="BB45" s="34" t="e">
        <f>AND(#REF!,"AAAAAH6/nDU=")</f>
        <v>#REF!</v>
      </c>
      <c r="BC45" s="34" t="e">
        <f>AND(#REF!,"AAAAAH6/nDY=")</f>
        <v>#REF!</v>
      </c>
      <c r="BD45" s="34" t="e">
        <f>AND(#REF!,"AAAAAH6/nDc=")</f>
        <v>#REF!</v>
      </c>
      <c r="BE45" s="34" t="e">
        <f>AND(#REF!,"AAAAAH6/nDg=")</f>
        <v>#REF!</v>
      </c>
      <c r="BF45" s="34" t="e">
        <f>AND(#REF!,"AAAAAH6/nDk=")</f>
        <v>#REF!</v>
      </c>
      <c r="BG45" s="34" t="e">
        <f>AND(#REF!,"AAAAAH6/nDo=")</f>
        <v>#REF!</v>
      </c>
      <c r="BH45" s="34" t="e">
        <f>AND(#REF!,"AAAAAH6/nDs=")</f>
        <v>#REF!</v>
      </c>
      <c r="BI45" s="34" t="e">
        <f>AND(#REF!,"AAAAAH6/nDw=")</f>
        <v>#REF!</v>
      </c>
      <c r="BJ45" s="34" t="e">
        <f>AND(#REF!,"AAAAAH6/nD0=")</f>
        <v>#REF!</v>
      </c>
      <c r="BK45" s="34" t="e">
        <f>AND(#REF!,"AAAAAH6/nD4=")</f>
        <v>#REF!</v>
      </c>
      <c r="BL45" s="34" t="e">
        <f>AND(#REF!,"AAAAAH6/nD8=")</f>
        <v>#REF!</v>
      </c>
      <c r="BM45" s="34" t="e">
        <f>AND(#REF!,"AAAAAH6/nEA=")</f>
        <v>#REF!</v>
      </c>
      <c r="BN45" s="34" t="e">
        <f>AND(#REF!,"AAAAAH6/nEE=")</f>
        <v>#REF!</v>
      </c>
      <c r="BO45" s="34" t="e">
        <f>AND(#REF!,"AAAAAH6/nEI=")</f>
        <v>#REF!</v>
      </c>
      <c r="BP45" s="34" t="e">
        <f>AND(#REF!,"AAAAAH6/nEM=")</f>
        <v>#REF!</v>
      </c>
      <c r="BQ45" s="34" t="e">
        <f>AND(#REF!,"AAAAAH6/nEQ=")</f>
        <v>#REF!</v>
      </c>
      <c r="BR45" s="34" t="e">
        <f>AND(#REF!,"AAAAAH6/nEU=")</f>
        <v>#REF!</v>
      </c>
      <c r="BS45" s="34" t="e">
        <f>AND(#REF!,"AAAAAH6/nEY=")</f>
        <v>#REF!</v>
      </c>
      <c r="BT45" s="34" t="e">
        <f>AND(#REF!,"AAAAAH6/nEc=")</f>
        <v>#REF!</v>
      </c>
      <c r="BU45" s="34" t="e">
        <f>AND(#REF!,"AAAAAH6/nEg=")</f>
        <v>#REF!</v>
      </c>
      <c r="BV45" s="34" t="e">
        <f>AND(#REF!,"AAAAAH6/nEk=")</f>
        <v>#REF!</v>
      </c>
      <c r="BW45" s="34" t="e">
        <f>AND(#REF!,"AAAAAH6/nEo=")</f>
        <v>#REF!</v>
      </c>
      <c r="BX45" s="34" t="e">
        <f>AND(#REF!,"AAAAAH6/nEs=")</f>
        <v>#REF!</v>
      </c>
      <c r="BY45" s="34" t="e">
        <f>IF(#REF!,"AAAAAH6/nEw=",0)</f>
        <v>#REF!</v>
      </c>
      <c r="BZ45" s="34" t="e">
        <f>AND(#REF!,"AAAAAH6/nE0=")</f>
        <v>#REF!</v>
      </c>
      <c r="CA45" s="34" t="e">
        <f>AND(#REF!,"AAAAAH6/nE4=")</f>
        <v>#REF!</v>
      </c>
      <c r="CB45" s="34" t="e">
        <f>AND(#REF!,"AAAAAH6/nE8=")</f>
        <v>#REF!</v>
      </c>
      <c r="CC45" s="34" t="e">
        <f>AND(#REF!,"AAAAAH6/nFA=")</f>
        <v>#REF!</v>
      </c>
      <c r="CD45" s="34" t="e">
        <f>AND(#REF!,"AAAAAH6/nFE=")</f>
        <v>#REF!</v>
      </c>
      <c r="CE45" s="34" t="e">
        <f>AND(#REF!,"AAAAAH6/nFI=")</f>
        <v>#REF!</v>
      </c>
      <c r="CF45" s="34" t="e">
        <f>AND(#REF!,"AAAAAH6/nFM=")</f>
        <v>#REF!</v>
      </c>
      <c r="CG45" s="34" t="e">
        <f>AND(#REF!,"AAAAAH6/nFQ=")</f>
        <v>#REF!</v>
      </c>
      <c r="CH45" s="34" t="e">
        <f>AND(#REF!,"AAAAAH6/nFU=")</f>
        <v>#REF!</v>
      </c>
      <c r="CI45" s="34" t="e">
        <f>AND(#REF!,"AAAAAH6/nFY=")</f>
        <v>#REF!</v>
      </c>
      <c r="CJ45" s="34" t="e">
        <f>AND(#REF!,"AAAAAH6/nFc=")</f>
        <v>#REF!</v>
      </c>
      <c r="CK45" s="34" t="e">
        <f>AND(#REF!,"AAAAAH6/nFg=")</f>
        <v>#REF!</v>
      </c>
      <c r="CL45" s="34" t="e">
        <f>AND(#REF!,"AAAAAH6/nFk=")</f>
        <v>#REF!</v>
      </c>
      <c r="CM45" s="34" t="e">
        <f>AND(#REF!,"AAAAAH6/nFo=")</f>
        <v>#REF!</v>
      </c>
      <c r="CN45" s="34" t="e">
        <f>AND(#REF!,"AAAAAH6/nFs=")</f>
        <v>#REF!</v>
      </c>
      <c r="CO45" s="34" t="e">
        <f>AND(#REF!,"AAAAAH6/nFw=")</f>
        <v>#REF!</v>
      </c>
      <c r="CP45" s="34" t="e">
        <f>AND(#REF!,"AAAAAH6/nF0=")</f>
        <v>#REF!</v>
      </c>
      <c r="CQ45" s="34" t="e">
        <f>AND(#REF!,"AAAAAH6/nF4=")</f>
        <v>#REF!</v>
      </c>
      <c r="CR45" s="34" t="e">
        <f>AND(#REF!,"AAAAAH6/nF8=")</f>
        <v>#REF!</v>
      </c>
      <c r="CS45" s="34" t="e">
        <f>AND(#REF!,"AAAAAH6/nGA=")</f>
        <v>#REF!</v>
      </c>
      <c r="CT45" s="34" t="e">
        <f>AND(#REF!,"AAAAAH6/nGE=")</f>
        <v>#REF!</v>
      </c>
      <c r="CU45" s="34" t="e">
        <f>AND(#REF!,"AAAAAH6/nGI=")</f>
        <v>#REF!</v>
      </c>
      <c r="CV45" s="34" t="e">
        <f>AND(#REF!,"AAAAAH6/nGM=")</f>
        <v>#REF!</v>
      </c>
      <c r="CW45" s="34" t="e">
        <f>AND(#REF!,"AAAAAH6/nGQ=")</f>
        <v>#REF!</v>
      </c>
      <c r="CX45" s="34" t="e">
        <f>AND(#REF!,"AAAAAH6/nGU=")</f>
        <v>#REF!</v>
      </c>
      <c r="CY45" s="34" t="e">
        <f>AND(#REF!,"AAAAAH6/nGY=")</f>
        <v>#REF!</v>
      </c>
      <c r="CZ45" s="34" t="e">
        <f>AND(#REF!,"AAAAAH6/nGc=")</f>
        <v>#REF!</v>
      </c>
      <c r="DA45" s="34" t="e">
        <f>AND(#REF!,"AAAAAH6/nGg=")</f>
        <v>#REF!</v>
      </c>
      <c r="DB45" s="34" t="e">
        <f>AND(#REF!,"AAAAAH6/nGk=")</f>
        <v>#REF!</v>
      </c>
      <c r="DC45" s="34" t="e">
        <f>AND(#REF!,"AAAAAH6/nGo=")</f>
        <v>#REF!</v>
      </c>
      <c r="DD45" s="34" t="e">
        <f>AND(#REF!,"AAAAAH6/nGs=")</f>
        <v>#REF!</v>
      </c>
      <c r="DE45" s="34" t="e">
        <f>AND(#REF!,"AAAAAH6/nGw=")</f>
        <v>#REF!</v>
      </c>
      <c r="DF45" s="34" t="e">
        <f>AND(#REF!,"AAAAAH6/nG0=")</f>
        <v>#REF!</v>
      </c>
      <c r="DG45" s="34" t="e">
        <f>AND(#REF!,"AAAAAH6/nG4=")</f>
        <v>#REF!</v>
      </c>
      <c r="DH45" s="34" t="e">
        <f>AND(#REF!,"AAAAAH6/nG8=")</f>
        <v>#REF!</v>
      </c>
      <c r="DI45" s="34" t="e">
        <f>AND(#REF!,"AAAAAH6/nHA=")</f>
        <v>#REF!</v>
      </c>
      <c r="DJ45" s="34" t="e">
        <f>AND(#REF!,"AAAAAH6/nHE=")</f>
        <v>#REF!</v>
      </c>
      <c r="DK45" s="34" t="e">
        <f>AND(#REF!,"AAAAAH6/nHI=")</f>
        <v>#REF!</v>
      </c>
      <c r="DL45" s="34" t="e">
        <f>AND(#REF!,"AAAAAH6/nHM=")</f>
        <v>#REF!</v>
      </c>
      <c r="DM45" s="34" t="e">
        <f>AND(#REF!,"AAAAAH6/nHQ=")</f>
        <v>#REF!</v>
      </c>
      <c r="DN45" s="34" t="e">
        <f>AND(#REF!,"AAAAAH6/nHU=")</f>
        <v>#REF!</v>
      </c>
      <c r="DO45" s="34" t="e">
        <f>AND(#REF!,"AAAAAH6/nHY=")</f>
        <v>#REF!</v>
      </c>
      <c r="DP45" s="34" t="e">
        <f>AND(#REF!,"AAAAAH6/nHc=")</f>
        <v>#REF!</v>
      </c>
      <c r="DQ45" s="34" t="e">
        <f>AND(#REF!,"AAAAAH6/nHg=")</f>
        <v>#REF!</v>
      </c>
      <c r="DR45" s="34" t="e">
        <f>AND(#REF!,"AAAAAH6/nHk=")</f>
        <v>#REF!</v>
      </c>
      <c r="DS45" s="34" t="e">
        <f>AND(#REF!,"AAAAAH6/nHo=")</f>
        <v>#REF!</v>
      </c>
      <c r="DT45" s="34" t="e">
        <f>AND(#REF!,"AAAAAH6/nHs=")</f>
        <v>#REF!</v>
      </c>
      <c r="DU45" s="34" t="e">
        <f>AND(#REF!,"AAAAAH6/nHw=")</f>
        <v>#REF!</v>
      </c>
      <c r="DV45" s="34" t="e">
        <f>AND(#REF!,"AAAAAH6/nH0=")</f>
        <v>#REF!</v>
      </c>
      <c r="DW45" s="34" t="e">
        <f>AND(#REF!,"AAAAAH6/nH4=")</f>
        <v>#REF!</v>
      </c>
      <c r="DX45" s="34" t="e">
        <f>AND(#REF!,"AAAAAH6/nH8=")</f>
        <v>#REF!</v>
      </c>
      <c r="DY45" s="34" t="e">
        <f>AND(#REF!,"AAAAAH6/nIA=")</f>
        <v>#REF!</v>
      </c>
      <c r="DZ45" s="34" t="e">
        <f>AND(#REF!,"AAAAAH6/nIE=")</f>
        <v>#REF!</v>
      </c>
      <c r="EA45" s="34" t="e">
        <f>AND(#REF!,"AAAAAH6/nII=")</f>
        <v>#REF!</v>
      </c>
      <c r="EB45" s="34" t="e">
        <f>AND(#REF!,"AAAAAH6/nIM=")</f>
        <v>#REF!</v>
      </c>
      <c r="EC45" s="34" t="e">
        <f>AND(#REF!,"AAAAAH6/nIQ=")</f>
        <v>#REF!</v>
      </c>
      <c r="ED45" s="34" t="e">
        <f>AND(#REF!,"AAAAAH6/nIU=")</f>
        <v>#REF!</v>
      </c>
      <c r="EE45" s="34" t="e">
        <f>AND(#REF!,"AAAAAH6/nIY=")</f>
        <v>#REF!</v>
      </c>
      <c r="EF45" s="34" t="e">
        <f>AND(#REF!,"AAAAAH6/nIc=")</f>
        <v>#REF!</v>
      </c>
      <c r="EG45" s="34" t="e">
        <f>AND(#REF!,"AAAAAH6/nIg=")</f>
        <v>#REF!</v>
      </c>
      <c r="EH45" s="34" t="e">
        <f>AND(#REF!,"AAAAAH6/nIk=")</f>
        <v>#REF!</v>
      </c>
      <c r="EI45" s="34" t="e">
        <f>AND(#REF!,"AAAAAH6/nIo=")</f>
        <v>#REF!</v>
      </c>
      <c r="EJ45" s="34" t="e">
        <f>AND(#REF!,"AAAAAH6/nIs=")</f>
        <v>#REF!</v>
      </c>
      <c r="EK45" s="34" t="e">
        <f>AND(#REF!,"AAAAAH6/nIw=")</f>
        <v>#REF!</v>
      </c>
      <c r="EL45" s="34" t="e">
        <f>AND(#REF!,"AAAAAH6/nI0=")</f>
        <v>#REF!</v>
      </c>
      <c r="EM45" s="34" t="e">
        <f>AND(#REF!,"AAAAAH6/nI4=")</f>
        <v>#REF!</v>
      </c>
      <c r="EN45" s="34" t="e">
        <f>AND(#REF!,"AAAAAH6/nI8=")</f>
        <v>#REF!</v>
      </c>
      <c r="EO45" s="34" t="e">
        <f>AND(#REF!,"AAAAAH6/nJA=")</f>
        <v>#REF!</v>
      </c>
      <c r="EP45" s="34" t="e">
        <f>AND(#REF!,"AAAAAH6/nJE=")</f>
        <v>#REF!</v>
      </c>
      <c r="EQ45" s="34" t="e">
        <f>AND(#REF!,"AAAAAH6/nJI=")</f>
        <v>#REF!</v>
      </c>
      <c r="ER45" s="34" t="e">
        <f>AND(#REF!,"AAAAAH6/nJM=")</f>
        <v>#REF!</v>
      </c>
      <c r="ES45" s="34" t="e">
        <f>AND(#REF!,"AAAAAH6/nJQ=")</f>
        <v>#REF!</v>
      </c>
      <c r="ET45" s="34" t="e">
        <f>IF(#REF!,"AAAAAH6/nJU=",0)</f>
        <v>#REF!</v>
      </c>
      <c r="EU45" s="34" t="e">
        <f>AND(#REF!,"AAAAAH6/nJY=")</f>
        <v>#REF!</v>
      </c>
      <c r="EV45" s="34" t="e">
        <f>AND(#REF!,"AAAAAH6/nJc=")</f>
        <v>#REF!</v>
      </c>
      <c r="EW45" s="34" t="e">
        <f>AND(#REF!,"AAAAAH6/nJg=")</f>
        <v>#REF!</v>
      </c>
      <c r="EX45" s="34" t="e">
        <f>AND(#REF!,"AAAAAH6/nJk=")</f>
        <v>#REF!</v>
      </c>
      <c r="EY45" s="34" t="e">
        <f>AND(#REF!,"AAAAAH6/nJo=")</f>
        <v>#REF!</v>
      </c>
      <c r="EZ45" s="34" t="e">
        <f>AND(#REF!,"AAAAAH6/nJs=")</f>
        <v>#REF!</v>
      </c>
      <c r="FA45" s="34" t="e">
        <f>AND(#REF!,"AAAAAH6/nJw=")</f>
        <v>#REF!</v>
      </c>
      <c r="FB45" s="34" t="e">
        <f>AND(#REF!,"AAAAAH6/nJ0=")</f>
        <v>#REF!</v>
      </c>
      <c r="FC45" s="34" t="e">
        <f>AND(#REF!,"AAAAAH6/nJ4=")</f>
        <v>#REF!</v>
      </c>
      <c r="FD45" s="34" t="e">
        <f>AND(#REF!,"AAAAAH6/nJ8=")</f>
        <v>#REF!</v>
      </c>
      <c r="FE45" s="34" t="e">
        <f>AND(#REF!,"AAAAAH6/nKA=")</f>
        <v>#REF!</v>
      </c>
      <c r="FF45" s="34" t="e">
        <f>AND(#REF!,"AAAAAH6/nKE=")</f>
        <v>#REF!</v>
      </c>
      <c r="FG45" s="34" t="e">
        <f>AND(#REF!,"AAAAAH6/nKI=")</f>
        <v>#REF!</v>
      </c>
      <c r="FH45" s="34" t="e">
        <f>AND(#REF!,"AAAAAH6/nKM=")</f>
        <v>#REF!</v>
      </c>
      <c r="FI45" s="34" t="e">
        <f>AND(#REF!,"AAAAAH6/nKQ=")</f>
        <v>#REF!</v>
      </c>
      <c r="FJ45" s="34" t="e">
        <f>AND(#REF!,"AAAAAH6/nKU=")</f>
        <v>#REF!</v>
      </c>
      <c r="FK45" s="34" t="e">
        <f>AND(#REF!,"AAAAAH6/nKY=")</f>
        <v>#REF!</v>
      </c>
      <c r="FL45" s="34" t="e">
        <f>AND(#REF!,"AAAAAH6/nKc=")</f>
        <v>#REF!</v>
      </c>
      <c r="FM45" s="34" t="e">
        <f>AND(#REF!,"AAAAAH6/nKg=")</f>
        <v>#REF!</v>
      </c>
      <c r="FN45" s="34" t="e">
        <f>AND(#REF!,"AAAAAH6/nKk=")</f>
        <v>#REF!</v>
      </c>
      <c r="FO45" s="34" t="e">
        <f>AND(#REF!,"AAAAAH6/nKo=")</f>
        <v>#REF!</v>
      </c>
      <c r="FP45" s="34" t="e">
        <f>AND(#REF!,"AAAAAH6/nKs=")</f>
        <v>#REF!</v>
      </c>
      <c r="FQ45" s="34" t="e">
        <f>AND(#REF!,"AAAAAH6/nKw=")</f>
        <v>#REF!</v>
      </c>
      <c r="FR45" s="34" t="e">
        <f>AND(#REF!,"AAAAAH6/nK0=")</f>
        <v>#REF!</v>
      </c>
      <c r="FS45" s="34" t="e">
        <f>AND(#REF!,"AAAAAH6/nK4=")</f>
        <v>#REF!</v>
      </c>
      <c r="FT45" s="34" t="e">
        <f>AND(#REF!,"AAAAAH6/nK8=")</f>
        <v>#REF!</v>
      </c>
      <c r="FU45" s="34" t="e">
        <f>AND(#REF!,"AAAAAH6/nLA=")</f>
        <v>#REF!</v>
      </c>
      <c r="FV45" s="34" t="e">
        <f>AND(#REF!,"AAAAAH6/nLE=")</f>
        <v>#REF!</v>
      </c>
      <c r="FW45" s="34" t="e">
        <f>AND(#REF!,"AAAAAH6/nLI=")</f>
        <v>#REF!</v>
      </c>
      <c r="FX45" s="34" t="e">
        <f>AND(#REF!,"AAAAAH6/nLM=")</f>
        <v>#REF!</v>
      </c>
      <c r="FY45" s="34" t="e">
        <f>AND(#REF!,"AAAAAH6/nLQ=")</f>
        <v>#REF!</v>
      </c>
      <c r="FZ45" s="34" t="e">
        <f>AND(#REF!,"AAAAAH6/nLU=")</f>
        <v>#REF!</v>
      </c>
      <c r="GA45" s="34" t="e">
        <f>AND(#REF!,"AAAAAH6/nLY=")</f>
        <v>#REF!</v>
      </c>
      <c r="GB45" s="34" t="e">
        <f>AND(#REF!,"AAAAAH6/nLc=")</f>
        <v>#REF!</v>
      </c>
      <c r="GC45" s="34" t="e">
        <f>AND(#REF!,"AAAAAH6/nLg=")</f>
        <v>#REF!</v>
      </c>
      <c r="GD45" s="34" t="e">
        <f>AND(#REF!,"AAAAAH6/nLk=")</f>
        <v>#REF!</v>
      </c>
      <c r="GE45" s="34" t="e">
        <f>AND(#REF!,"AAAAAH6/nLo=")</f>
        <v>#REF!</v>
      </c>
      <c r="GF45" s="34" t="e">
        <f>AND(#REF!,"AAAAAH6/nLs=")</f>
        <v>#REF!</v>
      </c>
      <c r="GG45" s="34" t="e">
        <f>AND(#REF!,"AAAAAH6/nLw=")</f>
        <v>#REF!</v>
      </c>
      <c r="GH45" s="34" t="e">
        <f>AND(#REF!,"AAAAAH6/nL0=")</f>
        <v>#REF!</v>
      </c>
      <c r="GI45" s="34" t="e">
        <f>AND(#REF!,"AAAAAH6/nL4=")</f>
        <v>#REF!</v>
      </c>
      <c r="GJ45" s="34" t="e">
        <f>AND(#REF!,"AAAAAH6/nL8=")</f>
        <v>#REF!</v>
      </c>
      <c r="GK45" s="34" t="e">
        <f>AND(#REF!,"AAAAAH6/nMA=")</f>
        <v>#REF!</v>
      </c>
      <c r="GL45" s="34" t="e">
        <f>AND(#REF!,"AAAAAH6/nME=")</f>
        <v>#REF!</v>
      </c>
      <c r="GM45" s="34" t="e">
        <f>AND(#REF!,"AAAAAH6/nMI=")</f>
        <v>#REF!</v>
      </c>
      <c r="GN45" s="34" t="e">
        <f>AND(#REF!,"AAAAAH6/nMM=")</f>
        <v>#REF!</v>
      </c>
      <c r="GO45" s="34" t="e">
        <f>AND(#REF!,"AAAAAH6/nMQ=")</f>
        <v>#REF!</v>
      </c>
      <c r="GP45" s="34" t="e">
        <f>AND(#REF!,"AAAAAH6/nMU=")</f>
        <v>#REF!</v>
      </c>
      <c r="GQ45" s="34" t="e">
        <f>AND(#REF!,"AAAAAH6/nMY=")</f>
        <v>#REF!</v>
      </c>
      <c r="GR45" s="34" t="e">
        <f>AND(#REF!,"AAAAAH6/nMc=")</f>
        <v>#REF!</v>
      </c>
      <c r="GS45" s="34" t="e">
        <f>AND(#REF!,"AAAAAH6/nMg=")</f>
        <v>#REF!</v>
      </c>
      <c r="GT45" s="34" t="e">
        <f>AND(#REF!,"AAAAAH6/nMk=")</f>
        <v>#REF!</v>
      </c>
      <c r="GU45" s="34" t="e">
        <f>AND(#REF!,"AAAAAH6/nMo=")</f>
        <v>#REF!</v>
      </c>
      <c r="GV45" s="34" t="e">
        <f>AND(#REF!,"AAAAAH6/nMs=")</f>
        <v>#REF!</v>
      </c>
      <c r="GW45" s="34" t="e">
        <f>AND(#REF!,"AAAAAH6/nMw=")</f>
        <v>#REF!</v>
      </c>
      <c r="GX45" s="34" t="e">
        <f>AND(#REF!,"AAAAAH6/nM0=")</f>
        <v>#REF!</v>
      </c>
      <c r="GY45" s="34" t="e">
        <f>AND(#REF!,"AAAAAH6/nM4=")</f>
        <v>#REF!</v>
      </c>
      <c r="GZ45" s="34" t="e">
        <f>AND(#REF!,"AAAAAH6/nM8=")</f>
        <v>#REF!</v>
      </c>
      <c r="HA45" s="34" t="e">
        <f>AND(#REF!,"AAAAAH6/nNA=")</f>
        <v>#REF!</v>
      </c>
      <c r="HB45" s="34" t="e">
        <f>AND(#REF!,"AAAAAH6/nNE=")</f>
        <v>#REF!</v>
      </c>
      <c r="HC45" s="34" t="e">
        <f>AND(#REF!,"AAAAAH6/nNI=")</f>
        <v>#REF!</v>
      </c>
      <c r="HD45" s="34" t="e">
        <f>AND(#REF!,"AAAAAH6/nNM=")</f>
        <v>#REF!</v>
      </c>
      <c r="HE45" s="34" t="e">
        <f>AND(#REF!,"AAAAAH6/nNQ=")</f>
        <v>#REF!</v>
      </c>
      <c r="HF45" s="34" t="e">
        <f>AND(#REF!,"AAAAAH6/nNU=")</f>
        <v>#REF!</v>
      </c>
      <c r="HG45" s="34" t="e">
        <f>AND(#REF!,"AAAAAH6/nNY=")</f>
        <v>#REF!</v>
      </c>
      <c r="HH45" s="34" t="e">
        <f>AND(#REF!,"AAAAAH6/nNc=")</f>
        <v>#REF!</v>
      </c>
      <c r="HI45" s="34" t="e">
        <f>AND(#REF!,"AAAAAH6/nNg=")</f>
        <v>#REF!</v>
      </c>
      <c r="HJ45" s="34" t="e">
        <f>AND(#REF!,"AAAAAH6/nNk=")</f>
        <v>#REF!</v>
      </c>
      <c r="HK45" s="34" t="e">
        <f>AND(#REF!,"AAAAAH6/nNo=")</f>
        <v>#REF!</v>
      </c>
      <c r="HL45" s="34" t="e">
        <f>AND(#REF!,"AAAAAH6/nNs=")</f>
        <v>#REF!</v>
      </c>
      <c r="HM45" s="34" t="e">
        <f>AND(#REF!,"AAAAAH6/nNw=")</f>
        <v>#REF!</v>
      </c>
      <c r="HN45" s="34" t="e">
        <f>AND(#REF!,"AAAAAH6/nN0=")</f>
        <v>#REF!</v>
      </c>
      <c r="HO45" s="34" t="e">
        <f>IF(#REF!,"AAAAAH6/nN4=",0)</f>
        <v>#REF!</v>
      </c>
      <c r="HP45" s="34" t="e">
        <f>AND(#REF!,"AAAAAH6/nN8=")</f>
        <v>#REF!</v>
      </c>
      <c r="HQ45" s="34" t="e">
        <f>AND(#REF!,"AAAAAH6/nOA=")</f>
        <v>#REF!</v>
      </c>
      <c r="HR45" s="34" t="e">
        <f>AND(#REF!,"AAAAAH6/nOE=")</f>
        <v>#REF!</v>
      </c>
      <c r="HS45" s="34" t="e">
        <f>AND(#REF!,"AAAAAH6/nOI=")</f>
        <v>#REF!</v>
      </c>
      <c r="HT45" s="34" t="e">
        <f>AND(#REF!,"AAAAAH6/nOM=")</f>
        <v>#REF!</v>
      </c>
      <c r="HU45" s="34" t="e">
        <f>AND(#REF!,"AAAAAH6/nOQ=")</f>
        <v>#REF!</v>
      </c>
      <c r="HV45" s="34" t="e">
        <f>AND(#REF!,"AAAAAH6/nOU=")</f>
        <v>#REF!</v>
      </c>
      <c r="HW45" s="34" t="e">
        <f>AND(#REF!,"AAAAAH6/nOY=")</f>
        <v>#REF!</v>
      </c>
      <c r="HX45" s="34" t="e">
        <f>AND(#REF!,"AAAAAH6/nOc=")</f>
        <v>#REF!</v>
      </c>
      <c r="HY45" s="34" t="e">
        <f>AND(#REF!,"AAAAAH6/nOg=")</f>
        <v>#REF!</v>
      </c>
      <c r="HZ45" s="34" t="e">
        <f>AND(#REF!,"AAAAAH6/nOk=")</f>
        <v>#REF!</v>
      </c>
      <c r="IA45" s="34" t="e">
        <f>AND(#REF!,"AAAAAH6/nOo=")</f>
        <v>#REF!</v>
      </c>
      <c r="IB45" s="34" t="e">
        <f>AND(#REF!,"AAAAAH6/nOs=")</f>
        <v>#REF!</v>
      </c>
      <c r="IC45" s="34" t="e">
        <f>AND(#REF!,"AAAAAH6/nOw=")</f>
        <v>#REF!</v>
      </c>
      <c r="ID45" s="34" t="e">
        <f>AND(#REF!,"AAAAAH6/nO0=")</f>
        <v>#REF!</v>
      </c>
      <c r="IE45" s="34" t="e">
        <f>AND(#REF!,"AAAAAH6/nO4=")</f>
        <v>#REF!</v>
      </c>
      <c r="IF45" s="34" t="e">
        <f>AND(#REF!,"AAAAAH6/nO8=")</f>
        <v>#REF!</v>
      </c>
      <c r="IG45" s="34" t="e">
        <f>AND(#REF!,"AAAAAH6/nPA=")</f>
        <v>#REF!</v>
      </c>
      <c r="IH45" s="34" t="e">
        <f>AND(#REF!,"AAAAAH6/nPE=")</f>
        <v>#REF!</v>
      </c>
      <c r="II45" s="34" t="e">
        <f>AND(#REF!,"AAAAAH6/nPI=")</f>
        <v>#REF!</v>
      </c>
      <c r="IJ45" s="34" t="e">
        <f>AND(#REF!,"AAAAAH6/nPM=")</f>
        <v>#REF!</v>
      </c>
      <c r="IK45" s="34" t="e">
        <f>AND(#REF!,"AAAAAH6/nPQ=")</f>
        <v>#REF!</v>
      </c>
      <c r="IL45" s="34" t="e">
        <f>AND(#REF!,"AAAAAH6/nPU=")</f>
        <v>#REF!</v>
      </c>
      <c r="IM45" s="34" t="e">
        <f>AND(#REF!,"AAAAAH6/nPY=")</f>
        <v>#REF!</v>
      </c>
      <c r="IN45" s="34" t="e">
        <f>AND(#REF!,"AAAAAH6/nPc=")</f>
        <v>#REF!</v>
      </c>
      <c r="IO45" s="34" t="e">
        <f>AND(#REF!,"AAAAAH6/nPg=")</f>
        <v>#REF!</v>
      </c>
      <c r="IP45" s="34" t="e">
        <f>AND(#REF!,"AAAAAH6/nPk=")</f>
        <v>#REF!</v>
      </c>
      <c r="IQ45" s="34" t="e">
        <f>AND(#REF!,"AAAAAH6/nPo=")</f>
        <v>#REF!</v>
      </c>
      <c r="IR45" s="34" t="e">
        <f>AND(#REF!,"AAAAAH6/nPs=")</f>
        <v>#REF!</v>
      </c>
      <c r="IS45" s="34" t="e">
        <f>AND(#REF!,"AAAAAH6/nPw=")</f>
        <v>#REF!</v>
      </c>
      <c r="IT45" s="34" t="e">
        <f>AND(#REF!,"AAAAAH6/nP0=")</f>
        <v>#REF!</v>
      </c>
      <c r="IU45" s="34" t="e">
        <f>AND(#REF!,"AAAAAH6/nP4=")</f>
        <v>#REF!</v>
      </c>
      <c r="IV45" s="34" t="e">
        <f>AND(#REF!,"AAAAAH6/nP8=")</f>
        <v>#REF!</v>
      </c>
    </row>
    <row r="46" spans="1:256" ht="12.75" customHeight="1" x14ac:dyDescent="0.2">
      <c r="A46" s="34" t="e">
        <f>AND(#REF!,"AAAAAG3/vwA=")</f>
        <v>#REF!</v>
      </c>
      <c r="B46" s="34" t="e">
        <f>AND(#REF!,"AAAAAG3/vwE=")</f>
        <v>#REF!</v>
      </c>
      <c r="C46" s="34" t="e">
        <f>AND(#REF!,"AAAAAG3/vwI=")</f>
        <v>#REF!</v>
      </c>
      <c r="D46" s="34" t="e">
        <f>AND(#REF!,"AAAAAG3/vwM=")</f>
        <v>#REF!</v>
      </c>
      <c r="E46" s="34" t="e">
        <f>AND(#REF!,"AAAAAG3/vwQ=")</f>
        <v>#REF!</v>
      </c>
      <c r="F46" s="34" t="e">
        <f>AND(#REF!,"AAAAAG3/vwU=")</f>
        <v>#REF!</v>
      </c>
      <c r="G46" s="34" t="e">
        <f>AND(#REF!,"AAAAAG3/vwY=")</f>
        <v>#REF!</v>
      </c>
      <c r="H46" s="34" t="e">
        <f>AND(#REF!,"AAAAAG3/vwc=")</f>
        <v>#REF!</v>
      </c>
      <c r="I46" s="34" t="e">
        <f>AND(#REF!,"AAAAAG3/vwg=")</f>
        <v>#REF!</v>
      </c>
      <c r="J46" s="34" t="e">
        <f>AND(#REF!,"AAAAAG3/vwk=")</f>
        <v>#REF!</v>
      </c>
      <c r="K46" s="34" t="e">
        <f>AND(#REF!,"AAAAAG3/vwo=")</f>
        <v>#REF!</v>
      </c>
      <c r="L46" s="34" t="e">
        <f>AND(#REF!,"AAAAAG3/vws=")</f>
        <v>#REF!</v>
      </c>
      <c r="M46" s="34" t="e">
        <f>AND(#REF!,"AAAAAG3/vww=")</f>
        <v>#REF!</v>
      </c>
      <c r="N46" s="34" t="e">
        <f>AND(#REF!,"AAAAAG3/vw0=")</f>
        <v>#REF!</v>
      </c>
      <c r="O46" s="34" t="e">
        <f>AND(#REF!,"AAAAAG3/vw4=")</f>
        <v>#REF!</v>
      </c>
      <c r="P46" s="34" t="e">
        <f>AND(#REF!,"AAAAAG3/vw8=")</f>
        <v>#REF!</v>
      </c>
      <c r="Q46" s="34" t="e">
        <f>AND(#REF!,"AAAAAG3/vxA=")</f>
        <v>#REF!</v>
      </c>
      <c r="R46" s="34" t="e">
        <f>AND(#REF!,"AAAAAG3/vxE=")</f>
        <v>#REF!</v>
      </c>
      <c r="S46" s="34" t="e">
        <f>AND(#REF!,"AAAAAG3/vxI=")</f>
        <v>#REF!</v>
      </c>
      <c r="T46" s="34" t="e">
        <f>AND(#REF!,"AAAAAG3/vxM=")</f>
        <v>#REF!</v>
      </c>
      <c r="U46" s="34" t="e">
        <f>AND(#REF!,"AAAAAG3/vxQ=")</f>
        <v>#REF!</v>
      </c>
      <c r="V46" s="34" t="e">
        <f>AND(#REF!,"AAAAAG3/vxU=")</f>
        <v>#REF!</v>
      </c>
      <c r="W46" s="34" t="e">
        <f>AND(#REF!,"AAAAAG3/vxY=")</f>
        <v>#REF!</v>
      </c>
      <c r="X46" s="34" t="e">
        <f>AND(#REF!,"AAAAAG3/vxc=")</f>
        <v>#REF!</v>
      </c>
      <c r="Y46" s="34" t="e">
        <f>AND(#REF!,"AAAAAG3/vxg=")</f>
        <v>#REF!</v>
      </c>
      <c r="Z46" s="34" t="e">
        <f>AND(#REF!,"AAAAAG3/vxk=")</f>
        <v>#REF!</v>
      </c>
      <c r="AA46" s="34" t="e">
        <f>AND(#REF!,"AAAAAG3/vxo=")</f>
        <v>#REF!</v>
      </c>
      <c r="AB46" s="34" t="e">
        <f>AND(#REF!,"AAAAAG3/vxs=")</f>
        <v>#REF!</v>
      </c>
      <c r="AC46" s="34" t="e">
        <f>AND(#REF!,"AAAAAG3/vxw=")</f>
        <v>#REF!</v>
      </c>
      <c r="AD46" s="34" t="e">
        <f>AND(#REF!,"AAAAAG3/vx0=")</f>
        <v>#REF!</v>
      </c>
      <c r="AE46" s="34" t="e">
        <f>AND(#REF!,"AAAAAG3/vx4=")</f>
        <v>#REF!</v>
      </c>
      <c r="AF46" s="34" t="e">
        <f>AND(#REF!,"AAAAAG3/vx8=")</f>
        <v>#REF!</v>
      </c>
      <c r="AG46" s="34" t="e">
        <f>AND(#REF!,"AAAAAG3/vyA=")</f>
        <v>#REF!</v>
      </c>
      <c r="AH46" s="34" t="e">
        <f>AND(#REF!,"AAAAAG3/vyE=")</f>
        <v>#REF!</v>
      </c>
      <c r="AI46" s="34" t="e">
        <f>AND(#REF!,"AAAAAG3/vyI=")</f>
        <v>#REF!</v>
      </c>
      <c r="AJ46" s="34" t="e">
        <f>AND(#REF!,"AAAAAG3/vyM=")</f>
        <v>#REF!</v>
      </c>
      <c r="AK46" s="34" t="e">
        <f>AND(#REF!,"AAAAAG3/vyQ=")</f>
        <v>#REF!</v>
      </c>
      <c r="AL46" s="34" t="e">
        <f>AND(#REF!,"AAAAAG3/vyU=")</f>
        <v>#REF!</v>
      </c>
      <c r="AM46" s="34" t="e">
        <f>AND(#REF!,"AAAAAG3/vyY=")</f>
        <v>#REF!</v>
      </c>
      <c r="AN46" s="34" t="e">
        <f>IF(#REF!,"AAAAAG3/vyc=",0)</f>
        <v>#REF!</v>
      </c>
      <c r="AO46" s="34" t="e">
        <f>AND(#REF!,"AAAAAG3/vyg=")</f>
        <v>#REF!</v>
      </c>
      <c r="AP46" s="34" t="e">
        <f>AND(#REF!,"AAAAAG3/vyk=")</f>
        <v>#REF!</v>
      </c>
      <c r="AQ46" s="34" t="e">
        <f>AND(#REF!,"AAAAAG3/vyo=")</f>
        <v>#REF!</v>
      </c>
      <c r="AR46" s="34" t="e">
        <f>AND(#REF!,"AAAAAG3/vys=")</f>
        <v>#REF!</v>
      </c>
      <c r="AS46" s="34" t="e">
        <f>AND(#REF!,"AAAAAG3/vyw=")</f>
        <v>#REF!</v>
      </c>
      <c r="AT46" s="34" t="e">
        <f>AND(#REF!,"AAAAAG3/vy0=")</f>
        <v>#REF!</v>
      </c>
      <c r="AU46" s="34" t="e">
        <f>AND(#REF!,"AAAAAG3/vy4=")</f>
        <v>#REF!</v>
      </c>
      <c r="AV46" s="34" t="e">
        <f>AND(#REF!,"AAAAAG3/vy8=")</f>
        <v>#REF!</v>
      </c>
      <c r="AW46" s="34" t="e">
        <f>AND(#REF!,"AAAAAG3/vzA=")</f>
        <v>#REF!</v>
      </c>
      <c r="AX46" s="34" t="e">
        <f>AND(#REF!,"AAAAAG3/vzE=")</f>
        <v>#REF!</v>
      </c>
      <c r="AY46" s="34" t="e">
        <f>AND(#REF!,"AAAAAG3/vzI=")</f>
        <v>#REF!</v>
      </c>
      <c r="AZ46" s="34" t="e">
        <f>AND(#REF!,"AAAAAG3/vzM=")</f>
        <v>#REF!</v>
      </c>
      <c r="BA46" s="34" t="e">
        <f>AND(#REF!,"AAAAAG3/vzQ=")</f>
        <v>#REF!</v>
      </c>
      <c r="BB46" s="34" t="e">
        <f>AND(#REF!,"AAAAAG3/vzU=")</f>
        <v>#REF!</v>
      </c>
      <c r="BC46" s="34" t="e">
        <f>AND(#REF!,"AAAAAG3/vzY=")</f>
        <v>#REF!</v>
      </c>
      <c r="BD46" s="34" t="e">
        <f>AND(#REF!,"AAAAAG3/vzc=")</f>
        <v>#REF!</v>
      </c>
      <c r="BE46" s="34" t="e">
        <f>AND(#REF!,"AAAAAG3/vzg=")</f>
        <v>#REF!</v>
      </c>
      <c r="BF46" s="34" t="e">
        <f>AND(#REF!,"AAAAAG3/vzk=")</f>
        <v>#REF!</v>
      </c>
      <c r="BG46" s="34" t="e">
        <f>AND(#REF!,"AAAAAG3/vzo=")</f>
        <v>#REF!</v>
      </c>
      <c r="BH46" s="34" t="e">
        <f>AND(#REF!,"AAAAAG3/vzs=")</f>
        <v>#REF!</v>
      </c>
      <c r="BI46" s="34" t="e">
        <f>AND(#REF!,"AAAAAG3/vzw=")</f>
        <v>#REF!</v>
      </c>
      <c r="BJ46" s="34" t="e">
        <f>AND(#REF!,"AAAAAG3/vz0=")</f>
        <v>#REF!</v>
      </c>
      <c r="BK46" s="34" t="e">
        <f>AND(#REF!,"AAAAAG3/vz4=")</f>
        <v>#REF!</v>
      </c>
      <c r="BL46" s="34" t="e">
        <f>AND(#REF!,"AAAAAG3/vz8=")</f>
        <v>#REF!</v>
      </c>
      <c r="BM46" s="34" t="e">
        <f>AND(#REF!,"AAAAAG3/v0A=")</f>
        <v>#REF!</v>
      </c>
      <c r="BN46" s="34" t="e">
        <f>AND(#REF!,"AAAAAG3/v0E=")</f>
        <v>#REF!</v>
      </c>
      <c r="BO46" s="34" t="e">
        <f>AND(#REF!,"AAAAAG3/v0I=")</f>
        <v>#REF!</v>
      </c>
      <c r="BP46" s="34" t="e">
        <f>AND(#REF!,"AAAAAG3/v0M=")</f>
        <v>#REF!</v>
      </c>
      <c r="BQ46" s="34" t="e">
        <f>AND(#REF!,"AAAAAG3/v0Q=")</f>
        <v>#REF!</v>
      </c>
      <c r="BR46" s="34" t="e">
        <f>AND(#REF!,"AAAAAG3/v0U=")</f>
        <v>#REF!</v>
      </c>
      <c r="BS46" s="34" t="e">
        <f>AND(#REF!,"AAAAAG3/v0Y=")</f>
        <v>#REF!</v>
      </c>
      <c r="BT46" s="34" t="e">
        <f>AND(#REF!,"AAAAAG3/v0c=")</f>
        <v>#REF!</v>
      </c>
      <c r="BU46" s="34" t="e">
        <f>AND(#REF!,"AAAAAG3/v0g=")</f>
        <v>#REF!</v>
      </c>
      <c r="BV46" s="34" t="e">
        <f>AND(#REF!,"AAAAAG3/v0k=")</f>
        <v>#REF!</v>
      </c>
      <c r="BW46" s="34" t="e">
        <f>AND(#REF!,"AAAAAG3/v0o=")</f>
        <v>#REF!</v>
      </c>
      <c r="BX46" s="34" t="e">
        <f>AND(#REF!,"AAAAAG3/v0s=")</f>
        <v>#REF!</v>
      </c>
      <c r="BY46" s="34" t="e">
        <f>AND(#REF!,"AAAAAG3/v0w=")</f>
        <v>#REF!</v>
      </c>
      <c r="BZ46" s="34" t="e">
        <f>AND(#REF!,"AAAAAG3/v00=")</f>
        <v>#REF!</v>
      </c>
      <c r="CA46" s="34" t="e">
        <f>AND(#REF!,"AAAAAG3/v04=")</f>
        <v>#REF!</v>
      </c>
      <c r="CB46" s="34" t="e">
        <f>AND(#REF!,"AAAAAG3/v08=")</f>
        <v>#REF!</v>
      </c>
      <c r="CC46" s="34" t="e">
        <f>AND(#REF!,"AAAAAG3/v1A=")</f>
        <v>#REF!</v>
      </c>
      <c r="CD46" s="34" t="e">
        <f>AND(#REF!,"AAAAAG3/v1E=")</f>
        <v>#REF!</v>
      </c>
      <c r="CE46" s="34" t="e">
        <f>AND(#REF!,"AAAAAG3/v1I=")</f>
        <v>#REF!</v>
      </c>
      <c r="CF46" s="34" t="e">
        <f>AND(#REF!,"AAAAAG3/v1M=")</f>
        <v>#REF!</v>
      </c>
      <c r="CG46" s="34" t="e">
        <f>AND(#REF!,"AAAAAG3/v1Q=")</f>
        <v>#REF!</v>
      </c>
      <c r="CH46" s="34" t="e">
        <f>AND(#REF!,"AAAAAG3/v1U=")</f>
        <v>#REF!</v>
      </c>
      <c r="CI46" s="34" t="e">
        <f>AND(#REF!,"AAAAAG3/v1Y=")</f>
        <v>#REF!</v>
      </c>
      <c r="CJ46" s="34" t="e">
        <f>AND(#REF!,"AAAAAG3/v1c=")</f>
        <v>#REF!</v>
      </c>
      <c r="CK46" s="34" t="e">
        <f>AND(#REF!,"AAAAAG3/v1g=")</f>
        <v>#REF!</v>
      </c>
      <c r="CL46" s="34" t="e">
        <f>AND(#REF!,"AAAAAG3/v1k=")</f>
        <v>#REF!</v>
      </c>
      <c r="CM46" s="34" t="e">
        <f>AND(#REF!,"AAAAAG3/v1o=")</f>
        <v>#REF!</v>
      </c>
      <c r="CN46" s="34" t="e">
        <f>AND(#REF!,"AAAAAG3/v1s=")</f>
        <v>#REF!</v>
      </c>
      <c r="CO46" s="34" t="e">
        <f>AND(#REF!,"AAAAAG3/v1w=")</f>
        <v>#REF!</v>
      </c>
      <c r="CP46" s="34" t="e">
        <f>AND(#REF!,"AAAAAG3/v10=")</f>
        <v>#REF!</v>
      </c>
      <c r="CQ46" s="34" t="e">
        <f>AND(#REF!,"AAAAAG3/v14=")</f>
        <v>#REF!</v>
      </c>
      <c r="CR46" s="34" t="e">
        <f>AND(#REF!,"AAAAAG3/v18=")</f>
        <v>#REF!</v>
      </c>
      <c r="CS46" s="34" t="e">
        <f>AND(#REF!,"AAAAAG3/v2A=")</f>
        <v>#REF!</v>
      </c>
      <c r="CT46" s="34" t="e">
        <f>AND(#REF!,"AAAAAG3/v2E=")</f>
        <v>#REF!</v>
      </c>
      <c r="CU46" s="34" t="e">
        <f>AND(#REF!,"AAAAAG3/v2I=")</f>
        <v>#REF!</v>
      </c>
      <c r="CV46" s="34" t="e">
        <f>AND(#REF!,"AAAAAG3/v2M=")</f>
        <v>#REF!</v>
      </c>
      <c r="CW46" s="34" t="e">
        <f>AND(#REF!,"AAAAAG3/v2Q=")</f>
        <v>#REF!</v>
      </c>
      <c r="CX46" s="34" t="e">
        <f>AND(#REF!,"AAAAAG3/v2U=")</f>
        <v>#REF!</v>
      </c>
      <c r="CY46" s="34" t="e">
        <f>AND(#REF!,"AAAAAG3/v2Y=")</f>
        <v>#REF!</v>
      </c>
      <c r="CZ46" s="34" t="e">
        <f>AND(#REF!,"AAAAAG3/v2c=")</f>
        <v>#REF!</v>
      </c>
      <c r="DA46" s="34" t="e">
        <f>AND(#REF!,"AAAAAG3/v2g=")</f>
        <v>#REF!</v>
      </c>
      <c r="DB46" s="34" t="e">
        <f>AND(#REF!,"AAAAAG3/v2k=")</f>
        <v>#REF!</v>
      </c>
      <c r="DC46" s="34" t="e">
        <f>AND(#REF!,"AAAAAG3/v2o=")</f>
        <v>#REF!</v>
      </c>
      <c r="DD46" s="34" t="e">
        <f>AND(#REF!,"AAAAAG3/v2s=")</f>
        <v>#REF!</v>
      </c>
      <c r="DE46" s="34" t="e">
        <f>AND(#REF!,"AAAAAG3/v2w=")</f>
        <v>#REF!</v>
      </c>
      <c r="DF46" s="34" t="e">
        <f>AND(#REF!,"AAAAAG3/v20=")</f>
        <v>#REF!</v>
      </c>
      <c r="DG46" s="34" t="e">
        <f>AND(#REF!,"AAAAAG3/v24=")</f>
        <v>#REF!</v>
      </c>
      <c r="DH46" s="34" t="e">
        <f>AND(#REF!,"AAAAAG3/v28=")</f>
        <v>#REF!</v>
      </c>
      <c r="DI46" s="34" t="e">
        <f>IF(#REF!,"AAAAAG3/v3A=",0)</f>
        <v>#REF!</v>
      </c>
      <c r="DJ46" s="34" t="e">
        <f>AND(#REF!,"AAAAAG3/v3E=")</f>
        <v>#REF!</v>
      </c>
      <c r="DK46" s="34" t="e">
        <f>AND(#REF!,"AAAAAG3/v3I=")</f>
        <v>#REF!</v>
      </c>
      <c r="DL46" s="34" t="e">
        <f>AND(#REF!,"AAAAAG3/v3M=")</f>
        <v>#REF!</v>
      </c>
      <c r="DM46" s="34" t="e">
        <f>AND(#REF!,"AAAAAG3/v3Q=")</f>
        <v>#REF!</v>
      </c>
      <c r="DN46" s="34" t="e">
        <f>AND(#REF!,"AAAAAG3/v3U=")</f>
        <v>#REF!</v>
      </c>
      <c r="DO46" s="34" t="e">
        <f>AND(#REF!,"AAAAAG3/v3Y=")</f>
        <v>#REF!</v>
      </c>
      <c r="DP46" s="34" t="e">
        <f>AND(#REF!,"AAAAAG3/v3c=")</f>
        <v>#REF!</v>
      </c>
      <c r="DQ46" s="34" t="e">
        <f>AND(#REF!,"AAAAAG3/v3g=")</f>
        <v>#REF!</v>
      </c>
      <c r="DR46" s="34" t="e">
        <f>AND(#REF!,"AAAAAG3/v3k=")</f>
        <v>#REF!</v>
      </c>
      <c r="DS46" s="34" t="e">
        <f>AND(#REF!,"AAAAAG3/v3o=")</f>
        <v>#REF!</v>
      </c>
      <c r="DT46" s="34" t="e">
        <f>AND(#REF!,"AAAAAG3/v3s=")</f>
        <v>#REF!</v>
      </c>
      <c r="DU46" s="34" t="e">
        <f>AND(#REF!,"AAAAAG3/v3w=")</f>
        <v>#REF!</v>
      </c>
      <c r="DV46" s="34" t="e">
        <f>AND(#REF!,"AAAAAG3/v30=")</f>
        <v>#REF!</v>
      </c>
      <c r="DW46" s="34" t="e">
        <f>AND(#REF!,"AAAAAG3/v34=")</f>
        <v>#REF!</v>
      </c>
      <c r="DX46" s="34" t="e">
        <f>AND(#REF!,"AAAAAG3/v38=")</f>
        <v>#REF!</v>
      </c>
      <c r="DY46" s="34" t="e">
        <f>AND(#REF!,"AAAAAG3/v4A=")</f>
        <v>#REF!</v>
      </c>
      <c r="DZ46" s="34" t="e">
        <f>AND(#REF!,"AAAAAG3/v4E=")</f>
        <v>#REF!</v>
      </c>
      <c r="EA46" s="34" t="e">
        <f>AND(#REF!,"AAAAAG3/v4I=")</f>
        <v>#REF!</v>
      </c>
      <c r="EB46" s="34" t="e">
        <f>AND(#REF!,"AAAAAG3/v4M=")</f>
        <v>#REF!</v>
      </c>
      <c r="EC46" s="34" t="e">
        <f>AND(#REF!,"AAAAAG3/v4Q=")</f>
        <v>#REF!</v>
      </c>
      <c r="ED46" s="34" t="e">
        <f>AND(#REF!,"AAAAAG3/v4U=")</f>
        <v>#REF!</v>
      </c>
      <c r="EE46" s="34" t="e">
        <f>AND(#REF!,"AAAAAG3/v4Y=")</f>
        <v>#REF!</v>
      </c>
      <c r="EF46" s="34" t="e">
        <f>AND(#REF!,"AAAAAG3/v4c=")</f>
        <v>#REF!</v>
      </c>
      <c r="EG46" s="34" t="e">
        <f>AND(#REF!,"AAAAAG3/v4g=")</f>
        <v>#REF!</v>
      </c>
      <c r="EH46" s="34" t="e">
        <f>AND(#REF!,"AAAAAG3/v4k=")</f>
        <v>#REF!</v>
      </c>
      <c r="EI46" s="34" t="e">
        <f>AND(#REF!,"AAAAAG3/v4o=")</f>
        <v>#REF!</v>
      </c>
      <c r="EJ46" s="34" t="e">
        <f>AND(#REF!,"AAAAAG3/v4s=")</f>
        <v>#REF!</v>
      </c>
      <c r="EK46" s="34" t="e">
        <f>AND(#REF!,"AAAAAG3/v4w=")</f>
        <v>#REF!</v>
      </c>
      <c r="EL46" s="34" t="e">
        <f>AND(#REF!,"AAAAAG3/v40=")</f>
        <v>#REF!</v>
      </c>
      <c r="EM46" s="34" t="e">
        <f>AND(#REF!,"AAAAAG3/v44=")</f>
        <v>#REF!</v>
      </c>
      <c r="EN46" s="34" t="e">
        <f>AND(#REF!,"AAAAAG3/v48=")</f>
        <v>#REF!</v>
      </c>
      <c r="EO46" s="34" t="e">
        <f>AND(#REF!,"AAAAAG3/v5A=")</f>
        <v>#REF!</v>
      </c>
      <c r="EP46" s="34" t="e">
        <f>AND(#REF!,"AAAAAG3/v5E=")</f>
        <v>#REF!</v>
      </c>
      <c r="EQ46" s="34" t="e">
        <f>AND(#REF!,"AAAAAG3/v5I=")</f>
        <v>#REF!</v>
      </c>
      <c r="ER46" s="34" t="e">
        <f>AND(#REF!,"AAAAAG3/v5M=")</f>
        <v>#REF!</v>
      </c>
      <c r="ES46" s="34" t="e">
        <f>AND(#REF!,"AAAAAG3/v5Q=")</f>
        <v>#REF!</v>
      </c>
      <c r="ET46" s="34" t="e">
        <f>AND(#REF!,"AAAAAG3/v5U=")</f>
        <v>#REF!</v>
      </c>
      <c r="EU46" s="34" t="e">
        <f>AND(#REF!,"AAAAAG3/v5Y=")</f>
        <v>#REF!</v>
      </c>
      <c r="EV46" s="34" t="e">
        <f>AND(#REF!,"AAAAAG3/v5c=")</f>
        <v>#REF!</v>
      </c>
      <c r="EW46" s="34" t="e">
        <f>AND(#REF!,"AAAAAG3/v5g=")</f>
        <v>#REF!</v>
      </c>
      <c r="EX46" s="34" t="e">
        <f>AND(#REF!,"AAAAAG3/v5k=")</f>
        <v>#REF!</v>
      </c>
      <c r="EY46" s="34" t="e">
        <f>AND(#REF!,"AAAAAG3/v5o=")</f>
        <v>#REF!</v>
      </c>
      <c r="EZ46" s="34" t="e">
        <f>AND(#REF!,"AAAAAG3/v5s=")</f>
        <v>#REF!</v>
      </c>
      <c r="FA46" s="34" t="e">
        <f>AND(#REF!,"AAAAAG3/v5w=")</f>
        <v>#REF!</v>
      </c>
      <c r="FB46" s="34" t="e">
        <f>AND(#REF!,"AAAAAG3/v50=")</f>
        <v>#REF!</v>
      </c>
      <c r="FC46" s="34" t="e">
        <f>AND(#REF!,"AAAAAG3/v54=")</f>
        <v>#REF!</v>
      </c>
      <c r="FD46" s="34" t="e">
        <f>AND(#REF!,"AAAAAG3/v58=")</f>
        <v>#REF!</v>
      </c>
      <c r="FE46" s="34" t="e">
        <f>AND(#REF!,"AAAAAG3/v6A=")</f>
        <v>#REF!</v>
      </c>
      <c r="FF46" s="34" t="e">
        <f>AND(#REF!,"AAAAAG3/v6E=")</f>
        <v>#REF!</v>
      </c>
      <c r="FG46" s="34" t="e">
        <f>AND(#REF!,"AAAAAG3/v6I=")</f>
        <v>#REF!</v>
      </c>
      <c r="FH46" s="34" t="e">
        <f>AND(#REF!,"AAAAAG3/v6M=")</f>
        <v>#REF!</v>
      </c>
      <c r="FI46" s="34" t="e">
        <f>AND(#REF!,"AAAAAG3/v6Q=")</f>
        <v>#REF!</v>
      </c>
      <c r="FJ46" s="34" t="e">
        <f>AND(#REF!,"AAAAAG3/v6U=")</f>
        <v>#REF!</v>
      </c>
      <c r="FK46" s="34" t="e">
        <f>AND(#REF!,"AAAAAG3/v6Y=")</f>
        <v>#REF!</v>
      </c>
      <c r="FL46" s="34" t="e">
        <f>AND(#REF!,"AAAAAG3/v6c=")</f>
        <v>#REF!</v>
      </c>
      <c r="FM46" s="34" t="e">
        <f>AND(#REF!,"AAAAAG3/v6g=")</f>
        <v>#REF!</v>
      </c>
      <c r="FN46" s="34" t="e">
        <f>AND(#REF!,"AAAAAG3/v6k=")</f>
        <v>#REF!</v>
      </c>
      <c r="FO46" s="34" t="e">
        <f>AND(#REF!,"AAAAAG3/v6o=")</f>
        <v>#REF!</v>
      </c>
      <c r="FP46" s="34" t="e">
        <f>AND(#REF!,"AAAAAG3/v6s=")</f>
        <v>#REF!</v>
      </c>
      <c r="FQ46" s="34" t="e">
        <f>AND(#REF!,"AAAAAG3/v6w=")</f>
        <v>#REF!</v>
      </c>
      <c r="FR46" s="34" t="e">
        <f>AND(#REF!,"AAAAAG3/v60=")</f>
        <v>#REF!</v>
      </c>
      <c r="FS46" s="34" t="e">
        <f>AND(#REF!,"AAAAAG3/v64=")</f>
        <v>#REF!</v>
      </c>
      <c r="FT46" s="34" t="e">
        <f>AND(#REF!,"AAAAAG3/v68=")</f>
        <v>#REF!</v>
      </c>
      <c r="FU46" s="34" t="e">
        <f>AND(#REF!,"AAAAAG3/v7A=")</f>
        <v>#REF!</v>
      </c>
      <c r="FV46" s="34" t="e">
        <f>AND(#REF!,"AAAAAG3/v7E=")</f>
        <v>#REF!</v>
      </c>
      <c r="FW46" s="34" t="e">
        <f>AND(#REF!,"AAAAAG3/v7I=")</f>
        <v>#REF!</v>
      </c>
      <c r="FX46" s="34" t="e">
        <f>AND(#REF!,"AAAAAG3/v7M=")</f>
        <v>#REF!</v>
      </c>
      <c r="FY46" s="34" t="e">
        <f>AND(#REF!,"AAAAAG3/v7Q=")</f>
        <v>#REF!</v>
      </c>
      <c r="FZ46" s="34" t="e">
        <f>AND(#REF!,"AAAAAG3/v7U=")</f>
        <v>#REF!</v>
      </c>
      <c r="GA46" s="34" t="e">
        <f>AND(#REF!,"AAAAAG3/v7Y=")</f>
        <v>#REF!</v>
      </c>
      <c r="GB46" s="34" t="e">
        <f>AND(#REF!,"AAAAAG3/v7c=")</f>
        <v>#REF!</v>
      </c>
      <c r="GC46" s="34" t="e">
        <f>AND(#REF!,"AAAAAG3/v7g=")</f>
        <v>#REF!</v>
      </c>
      <c r="GD46" s="34" t="e">
        <f>IF(#REF!,"AAAAAG3/v7k=",0)</f>
        <v>#REF!</v>
      </c>
      <c r="GE46" s="34" t="e">
        <f>AND(#REF!,"AAAAAG3/v7o=")</f>
        <v>#REF!</v>
      </c>
      <c r="GF46" s="34" t="e">
        <f>AND(#REF!,"AAAAAG3/v7s=")</f>
        <v>#REF!</v>
      </c>
      <c r="GG46" s="34" t="e">
        <f>AND(#REF!,"AAAAAG3/v7w=")</f>
        <v>#REF!</v>
      </c>
      <c r="GH46" s="34" t="e">
        <f>AND(#REF!,"AAAAAG3/v70=")</f>
        <v>#REF!</v>
      </c>
      <c r="GI46" s="34" t="e">
        <f>AND(#REF!,"AAAAAG3/v74=")</f>
        <v>#REF!</v>
      </c>
      <c r="GJ46" s="34" t="e">
        <f>AND(#REF!,"AAAAAG3/v78=")</f>
        <v>#REF!</v>
      </c>
      <c r="GK46" s="34" t="e">
        <f>AND(#REF!,"AAAAAG3/v8A=")</f>
        <v>#REF!</v>
      </c>
      <c r="GL46" s="34" t="e">
        <f>AND(#REF!,"AAAAAG3/v8E=")</f>
        <v>#REF!</v>
      </c>
      <c r="GM46" s="34" t="e">
        <f>AND(#REF!,"AAAAAG3/v8I=")</f>
        <v>#REF!</v>
      </c>
      <c r="GN46" s="34" t="e">
        <f>AND(#REF!,"AAAAAG3/v8M=")</f>
        <v>#REF!</v>
      </c>
      <c r="GO46" s="34" t="e">
        <f>AND(#REF!,"AAAAAG3/v8Q=")</f>
        <v>#REF!</v>
      </c>
      <c r="GP46" s="34" t="e">
        <f>AND(#REF!,"AAAAAG3/v8U=")</f>
        <v>#REF!</v>
      </c>
      <c r="GQ46" s="34" t="e">
        <f>AND(#REF!,"AAAAAG3/v8Y=")</f>
        <v>#REF!</v>
      </c>
      <c r="GR46" s="34" t="e">
        <f>AND(#REF!,"AAAAAG3/v8c=")</f>
        <v>#REF!</v>
      </c>
      <c r="GS46" s="34" t="e">
        <f>AND(#REF!,"AAAAAG3/v8g=")</f>
        <v>#REF!</v>
      </c>
      <c r="GT46" s="34" t="e">
        <f>AND(#REF!,"AAAAAG3/v8k=")</f>
        <v>#REF!</v>
      </c>
      <c r="GU46" s="34" t="e">
        <f>AND(#REF!,"AAAAAG3/v8o=")</f>
        <v>#REF!</v>
      </c>
      <c r="GV46" s="34" t="e">
        <f>AND(#REF!,"AAAAAG3/v8s=")</f>
        <v>#REF!</v>
      </c>
      <c r="GW46" s="34" t="e">
        <f>AND(#REF!,"AAAAAG3/v8w=")</f>
        <v>#REF!</v>
      </c>
      <c r="GX46" s="34" t="e">
        <f>AND(#REF!,"AAAAAG3/v80=")</f>
        <v>#REF!</v>
      </c>
      <c r="GY46" s="34" t="e">
        <f>AND(#REF!,"AAAAAG3/v84=")</f>
        <v>#REF!</v>
      </c>
      <c r="GZ46" s="34" t="e">
        <f>AND(#REF!,"AAAAAG3/v88=")</f>
        <v>#REF!</v>
      </c>
      <c r="HA46" s="34" t="e">
        <f>AND(#REF!,"AAAAAG3/v9A=")</f>
        <v>#REF!</v>
      </c>
      <c r="HB46" s="34" t="e">
        <f>AND(#REF!,"AAAAAG3/v9E=")</f>
        <v>#REF!</v>
      </c>
      <c r="HC46" s="34" t="e">
        <f>AND(#REF!,"AAAAAG3/v9I=")</f>
        <v>#REF!</v>
      </c>
      <c r="HD46" s="34" t="e">
        <f>AND(#REF!,"AAAAAG3/v9M=")</f>
        <v>#REF!</v>
      </c>
      <c r="HE46" s="34" t="e">
        <f>AND(#REF!,"AAAAAG3/v9Q=")</f>
        <v>#REF!</v>
      </c>
      <c r="HF46" s="34" t="e">
        <f>AND(#REF!,"AAAAAG3/v9U=")</f>
        <v>#REF!</v>
      </c>
      <c r="HG46" s="34" t="e">
        <f>AND(#REF!,"AAAAAG3/v9Y=")</f>
        <v>#REF!</v>
      </c>
      <c r="HH46" s="34" t="e">
        <f>AND(#REF!,"AAAAAG3/v9c=")</f>
        <v>#REF!</v>
      </c>
      <c r="HI46" s="34" t="e">
        <f>AND(#REF!,"AAAAAG3/v9g=")</f>
        <v>#REF!</v>
      </c>
      <c r="HJ46" s="34" t="e">
        <f>AND(#REF!,"AAAAAG3/v9k=")</f>
        <v>#REF!</v>
      </c>
      <c r="HK46" s="34" t="e">
        <f>AND(#REF!,"AAAAAG3/v9o=")</f>
        <v>#REF!</v>
      </c>
      <c r="HL46" s="34" t="e">
        <f>AND(#REF!,"AAAAAG3/v9s=")</f>
        <v>#REF!</v>
      </c>
      <c r="HM46" s="34" t="e">
        <f>AND(#REF!,"AAAAAG3/v9w=")</f>
        <v>#REF!</v>
      </c>
      <c r="HN46" s="34" t="e">
        <f>AND(#REF!,"AAAAAG3/v90=")</f>
        <v>#REF!</v>
      </c>
      <c r="HO46" s="34" t="e">
        <f>AND(#REF!,"AAAAAG3/v94=")</f>
        <v>#REF!</v>
      </c>
      <c r="HP46" s="34" t="e">
        <f>AND(#REF!,"AAAAAG3/v98=")</f>
        <v>#REF!</v>
      </c>
      <c r="HQ46" s="34" t="e">
        <f>AND(#REF!,"AAAAAG3/v+A=")</f>
        <v>#REF!</v>
      </c>
      <c r="HR46" s="34" t="e">
        <f>AND(#REF!,"AAAAAG3/v+E=")</f>
        <v>#REF!</v>
      </c>
      <c r="HS46" s="34" t="e">
        <f>AND(#REF!,"AAAAAG3/v+I=")</f>
        <v>#REF!</v>
      </c>
      <c r="HT46" s="34" t="e">
        <f>AND(#REF!,"AAAAAG3/v+M=")</f>
        <v>#REF!</v>
      </c>
      <c r="HU46" s="34" t="e">
        <f>AND(#REF!,"AAAAAG3/v+Q=")</f>
        <v>#REF!</v>
      </c>
      <c r="HV46" s="34" t="e">
        <f>AND(#REF!,"AAAAAG3/v+U=")</f>
        <v>#REF!</v>
      </c>
      <c r="HW46" s="34" t="e">
        <f>AND(#REF!,"AAAAAG3/v+Y=")</f>
        <v>#REF!</v>
      </c>
      <c r="HX46" s="34" t="e">
        <f>AND(#REF!,"AAAAAG3/v+c=")</f>
        <v>#REF!</v>
      </c>
      <c r="HY46" s="34" t="e">
        <f>AND(#REF!,"AAAAAG3/v+g=")</f>
        <v>#REF!</v>
      </c>
      <c r="HZ46" s="34" t="e">
        <f>AND(#REF!,"AAAAAG3/v+k=")</f>
        <v>#REF!</v>
      </c>
      <c r="IA46" s="34" t="e">
        <f>AND(#REF!,"AAAAAG3/v+o=")</f>
        <v>#REF!</v>
      </c>
      <c r="IB46" s="34" t="e">
        <f>AND(#REF!,"AAAAAG3/v+s=")</f>
        <v>#REF!</v>
      </c>
      <c r="IC46" s="34" t="e">
        <f>AND(#REF!,"AAAAAG3/v+w=")</f>
        <v>#REF!</v>
      </c>
      <c r="ID46" s="34" t="e">
        <f>AND(#REF!,"AAAAAG3/v+0=")</f>
        <v>#REF!</v>
      </c>
      <c r="IE46" s="34" t="e">
        <f>AND(#REF!,"AAAAAG3/v+4=")</f>
        <v>#REF!</v>
      </c>
      <c r="IF46" s="34" t="e">
        <f>AND(#REF!,"AAAAAG3/v+8=")</f>
        <v>#REF!</v>
      </c>
      <c r="IG46" s="34" t="e">
        <f>AND(#REF!,"AAAAAG3/v/A=")</f>
        <v>#REF!</v>
      </c>
      <c r="IH46" s="34" t="e">
        <f>AND(#REF!,"AAAAAG3/v/E=")</f>
        <v>#REF!</v>
      </c>
      <c r="II46" s="34" t="e">
        <f>AND(#REF!,"AAAAAG3/v/I=")</f>
        <v>#REF!</v>
      </c>
      <c r="IJ46" s="34" t="e">
        <f>AND(#REF!,"AAAAAG3/v/M=")</f>
        <v>#REF!</v>
      </c>
      <c r="IK46" s="34" t="e">
        <f>AND(#REF!,"AAAAAG3/v/Q=")</f>
        <v>#REF!</v>
      </c>
      <c r="IL46" s="34" t="e">
        <f>AND(#REF!,"AAAAAG3/v/U=")</f>
        <v>#REF!</v>
      </c>
      <c r="IM46" s="34" t="e">
        <f>AND(#REF!,"AAAAAG3/v/Y=")</f>
        <v>#REF!</v>
      </c>
      <c r="IN46" s="34" t="e">
        <f>AND(#REF!,"AAAAAG3/v/c=")</f>
        <v>#REF!</v>
      </c>
      <c r="IO46" s="34" t="e">
        <f>AND(#REF!,"AAAAAG3/v/g=")</f>
        <v>#REF!</v>
      </c>
      <c r="IP46" s="34" t="e">
        <f>AND(#REF!,"AAAAAG3/v/k=")</f>
        <v>#REF!</v>
      </c>
      <c r="IQ46" s="34" t="e">
        <f>AND(#REF!,"AAAAAG3/v/o=")</f>
        <v>#REF!</v>
      </c>
      <c r="IR46" s="34" t="e">
        <f>AND(#REF!,"AAAAAG3/v/s=")</f>
        <v>#REF!</v>
      </c>
      <c r="IS46" s="34" t="e">
        <f>AND(#REF!,"AAAAAG3/v/w=")</f>
        <v>#REF!</v>
      </c>
      <c r="IT46" s="34" t="e">
        <f>AND(#REF!,"AAAAAG3/v/0=")</f>
        <v>#REF!</v>
      </c>
      <c r="IU46" s="34" t="e">
        <f>AND(#REF!,"AAAAAG3/v/4=")</f>
        <v>#REF!</v>
      </c>
      <c r="IV46" s="34" t="e">
        <f>AND(#REF!,"AAAAAG3/v/8=")</f>
        <v>#REF!</v>
      </c>
    </row>
    <row r="47" spans="1:256" ht="12.75" customHeight="1" x14ac:dyDescent="0.2">
      <c r="A47" s="34" t="e">
        <f>AND(#REF!,"AAAAAF32sgA=")</f>
        <v>#REF!</v>
      </c>
      <c r="B47" s="34" t="e">
        <f>AND(#REF!,"AAAAAF32sgE=")</f>
        <v>#REF!</v>
      </c>
      <c r="C47" s="34" t="e">
        <f>IF(#REF!,"AAAAAF32sgI=",0)</f>
        <v>#REF!</v>
      </c>
      <c r="D47" s="34" t="e">
        <f>AND(#REF!,"AAAAAF32sgM=")</f>
        <v>#REF!</v>
      </c>
      <c r="E47" s="34" t="e">
        <f>AND(#REF!,"AAAAAF32sgQ=")</f>
        <v>#REF!</v>
      </c>
      <c r="F47" s="34" t="e">
        <f>AND(#REF!,"AAAAAF32sgU=")</f>
        <v>#REF!</v>
      </c>
      <c r="G47" s="34" t="e">
        <f>AND(#REF!,"AAAAAF32sgY=")</f>
        <v>#REF!</v>
      </c>
      <c r="H47" s="34" t="e">
        <f>AND(#REF!,"AAAAAF32sgc=")</f>
        <v>#REF!</v>
      </c>
      <c r="I47" s="34" t="e">
        <f>AND(#REF!,"AAAAAF32sgg=")</f>
        <v>#REF!</v>
      </c>
      <c r="J47" s="34" t="e">
        <f>AND(#REF!,"AAAAAF32sgk=")</f>
        <v>#REF!</v>
      </c>
      <c r="K47" s="34" t="e">
        <f>AND(#REF!,"AAAAAF32sgo=")</f>
        <v>#REF!</v>
      </c>
      <c r="L47" s="34" t="e">
        <f>AND(#REF!,"AAAAAF32sgs=")</f>
        <v>#REF!</v>
      </c>
      <c r="M47" s="34" t="e">
        <f>AND(#REF!,"AAAAAF32sgw=")</f>
        <v>#REF!</v>
      </c>
      <c r="N47" s="34" t="e">
        <f>AND(#REF!,"AAAAAF32sg0=")</f>
        <v>#REF!</v>
      </c>
      <c r="O47" s="34" t="e">
        <f>AND(#REF!,"AAAAAF32sg4=")</f>
        <v>#REF!</v>
      </c>
      <c r="P47" s="34" t="e">
        <f>AND(#REF!,"AAAAAF32sg8=")</f>
        <v>#REF!</v>
      </c>
      <c r="Q47" s="34" t="e">
        <f>AND(#REF!,"AAAAAF32shA=")</f>
        <v>#REF!</v>
      </c>
      <c r="R47" s="34" t="e">
        <f>AND(#REF!,"AAAAAF32shE=")</f>
        <v>#REF!</v>
      </c>
      <c r="S47" s="34" t="e">
        <f>AND(#REF!,"AAAAAF32shI=")</f>
        <v>#REF!</v>
      </c>
      <c r="T47" s="34" t="e">
        <f>AND(#REF!,"AAAAAF32shM=")</f>
        <v>#REF!</v>
      </c>
      <c r="U47" s="34" t="e">
        <f>AND(#REF!,"AAAAAF32shQ=")</f>
        <v>#REF!</v>
      </c>
      <c r="V47" s="34" t="e">
        <f>AND(#REF!,"AAAAAF32shU=")</f>
        <v>#REF!</v>
      </c>
      <c r="W47" s="34" t="e">
        <f>AND(#REF!,"AAAAAF32shY=")</f>
        <v>#REF!</v>
      </c>
      <c r="X47" s="34" t="e">
        <f>AND(#REF!,"AAAAAF32shc=")</f>
        <v>#REF!</v>
      </c>
      <c r="Y47" s="34" t="e">
        <f>AND(#REF!,"AAAAAF32shg=")</f>
        <v>#REF!</v>
      </c>
      <c r="Z47" s="34" t="e">
        <f>AND(#REF!,"AAAAAF32shk=")</f>
        <v>#REF!</v>
      </c>
      <c r="AA47" s="34" t="e">
        <f>AND(#REF!,"AAAAAF32sho=")</f>
        <v>#REF!</v>
      </c>
      <c r="AB47" s="34" t="e">
        <f>AND(#REF!,"AAAAAF32shs=")</f>
        <v>#REF!</v>
      </c>
      <c r="AC47" s="34" t="e">
        <f>AND(#REF!,"AAAAAF32shw=")</f>
        <v>#REF!</v>
      </c>
      <c r="AD47" s="34" t="e">
        <f>AND(#REF!,"AAAAAF32sh0=")</f>
        <v>#REF!</v>
      </c>
      <c r="AE47" s="34" t="e">
        <f>AND(#REF!,"AAAAAF32sh4=")</f>
        <v>#REF!</v>
      </c>
      <c r="AF47" s="34" t="e">
        <f>AND(#REF!,"AAAAAF32sh8=")</f>
        <v>#REF!</v>
      </c>
      <c r="AG47" s="34" t="e">
        <f>AND(#REF!,"AAAAAF32siA=")</f>
        <v>#REF!</v>
      </c>
      <c r="AH47" s="34" t="e">
        <f>AND(#REF!,"AAAAAF32siE=")</f>
        <v>#REF!</v>
      </c>
      <c r="AI47" s="34" t="e">
        <f>AND(#REF!,"AAAAAF32siI=")</f>
        <v>#REF!</v>
      </c>
      <c r="AJ47" s="34" t="e">
        <f>AND(#REF!,"AAAAAF32siM=")</f>
        <v>#REF!</v>
      </c>
      <c r="AK47" s="34" t="e">
        <f>AND(#REF!,"AAAAAF32siQ=")</f>
        <v>#REF!</v>
      </c>
      <c r="AL47" s="34" t="e">
        <f>AND(#REF!,"AAAAAF32siU=")</f>
        <v>#REF!</v>
      </c>
      <c r="AM47" s="34" t="e">
        <f>AND(#REF!,"AAAAAF32siY=")</f>
        <v>#REF!</v>
      </c>
      <c r="AN47" s="34" t="e">
        <f>AND(#REF!,"AAAAAF32sic=")</f>
        <v>#REF!</v>
      </c>
      <c r="AO47" s="34" t="e">
        <f>AND(#REF!,"AAAAAF32sig=")</f>
        <v>#REF!</v>
      </c>
      <c r="AP47" s="34" t="e">
        <f>AND(#REF!,"AAAAAF32sik=")</f>
        <v>#REF!</v>
      </c>
      <c r="AQ47" s="34" t="e">
        <f>AND(#REF!,"AAAAAF32sio=")</f>
        <v>#REF!</v>
      </c>
      <c r="AR47" s="34" t="e">
        <f>AND(#REF!,"AAAAAF32sis=")</f>
        <v>#REF!</v>
      </c>
      <c r="AS47" s="34" t="e">
        <f>AND(#REF!,"AAAAAF32siw=")</f>
        <v>#REF!</v>
      </c>
      <c r="AT47" s="34" t="e">
        <f>AND(#REF!,"AAAAAF32si0=")</f>
        <v>#REF!</v>
      </c>
      <c r="AU47" s="34" t="e">
        <f>AND(#REF!,"AAAAAF32si4=")</f>
        <v>#REF!</v>
      </c>
      <c r="AV47" s="34" t="e">
        <f>AND(#REF!,"AAAAAF32si8=")</f>
        <v>#REF!</v>
      </c>
      <c r="AW47" s="34" t="e">
        <f>AND(#REF!,"AAAAAF32sjA=")</f>
        <v>#REF!</v>
      </c>
      <c r="AX47" s="34" t="e">
        <f>AND(#REF!,"AAAAAF32sjE=")</f>
        <v>#REF!</v>
      </c>
      <c r="AY47" s="34" t="e">
        <f>AND(#REF!,"AAAAAF32sjI=")</f>
        <v>#REF!</v>
      </c>
      <c r="AZ47" s="34" t="e">
        <f>AND(#REF!,"AAAAAF32sjM=")</f>
        <v>#REF!</v>
      </c>
      <c r="BA47" s="34" t="e">
        <f>AND(#REF!,"AAAAAF32sjQ=")</f>
        <v>#REF!</v>
      </c>
      <c r="BB47" s="34" t="e">
        <f>AND(#REF!,"AAAAAF32sjU=")</f>
        <v>#REF!</v>
      </c>
      <c r="BC47" s="34" t="e">
        <f>AND(#REF!,"AAAAAF32sjY=")</f>
        <v>#REF!</v>
      </c>
      <c r="BD47" s="34" t="e">
        <f>AND(#REF!,"AAAAAF32sjc=")</f>
        <v>#REF!</v>
      </c>
      <c r="BE47" s="34" t="e">
        <f>AND(#REF!,"AAAAAF32sjg=")</f>
        <v>#REF!</v>
      </c>
      <c r="BF47" s="34" t="e">
        <f>AND(#REF!,"AAAAAF32sjk=")</f>
        <v>#REF!</v>
      </c>
      <c r="BG47" s="34" t="e">
        <f>AND(#REF!,"AAAAAF32sjo=")</f>
        <v>#REF!</v>
      </c>
      <c r="BH47" s="34" t="e">
        <f>AND(#REF!,"AAAAAF32sjs=")</f>
        <v>#REF!</v>
      </c>
      <c r="BI47" s="34" t="e">
        <f>AND(#REF!,"AAAAAF32sjw=")</f>
        <v>#REF!</v>
      </c>
      <c r="BJ47" s="34" t="e">
        <f>AND(#REF!,"AAAAAF32sj0=")</f>
        <v>#REF!</v>
      </c>
      <c r="BK47" s="34" t="e">
        <f>AND(#REF!,"AAAAAF32sj4=")</f>
        <v>#REF!</v>
      </c>
      <c r="BL47" s="34" t="e">
        <f>AND(#REF!,"AAAAAF32sj8=")</f>
        <v>#REF!</v>
      </c>
      <c r="BM47" s="34" t="e">
        <f>AND(#REF!,"AAAAAF32skA=")</f>
        <v>#REF!</v>
      </c>
      <c r="BN47" s="34" t="e">
        <f>AND(#REF!,"AAAAAF32skE=")</f>
        <v>#REF!</v>
      </c>
      <c r="BO47" s="34" t="e">
        <f>AND(#REF!,"AAAAAF32skI=")</f>
        <v>#REF!</v>
      </c>
      <c r="BP47" s="34" t="e">
        <f>AND(#REF!,"AAAAAF32skM=")</f>
        <v>#REF!</v>
      </c>
      <c r="BQ47" s="34" t="e">
        <f>AND(#REF!,"AAAAAF32skQ=")</f>
        <v>#REF!</v>
      </c>
      <c r="BR47" s="34" t="e">
        <f>AND(#REF!,"AAAAAF32skU=")</f>
        <v>#REF!</v>
      </c>
      <c r="BS47" s="34" t="e">
        <f>AND(#REF!,"AAAAAF32skY=")</f>
        <v>#REF!</v>
      </c>
      <c r="BT47" s="34" t="e">
        <f>AND(#REF!,"AAAAAF32skc=")</f>
        <v>#REF!</v>
      </c>
      <c r="BU47" s="34" t="e">
        <f>AND(#REF!,"AAAAAF32skg=")</f>
        <v>#REF!</v>
      </c>
      <c r="BV47" s="34" t="e">
        <f>AND(#REF!,"AAAAAF32skk=")</f>
        <v>#REF!</v>
      </c>
      <c r="BW47" s="34" t="e">
        <f>AND(#REF!,"AAAAAF32sko=")</f>
        <v>#REF!</v>
      </c>
      <c r="BX47" s="34" t="e">
        <f>IF(#REF!,"AAAAAF32sks=",0)</f>
        <v>#REF!</v>
      </c>
      <c r="BY47" s="34" t="e">
        <f>AND(#REF!,"AAAAAF32skw=")</f>
        <v>#REF!</v>
      </c>
      <c r="BZ47" s="34" t="e">
        <f>AND(#REF!,"AAAAAF32sk0=")</f>
        <v>#REF!</v>
      </c>
      <c r="CA47" s="34" t="e">
        <f>AND(#REF!,"AAAAAF32sk4=")</f>
        <v>#REF!</v>
      </c>
      <c r="CB47" s="34" t="e">
        <f>AND(#REF!,"AAAAAF32sk8=")</f>
        <v>#REF!</v>
      </c>
      <c r="CC47" s="34" t="e">
        <f>AND(#REF!,"AAAAAF32slA=")</f>
        <v>#REF!</v>
      </c>
      <c r="CD47" s="34" t="e">
        <f>AND(#REF!,"AAAAAF32slE=")</f>
        <v>#REF!</v>
      </c>
      <c r="CE47" s="34" t="e">
        <f>AND(#REF!,"AAAAAF32slI=")</f>
        <v>#REF!</v>
      </c>
      <c r="CF47" s="34" t="e">
        <f>AND(#REF!,"AAAAAF32slM=")</f>
        <v>#REF!</v>
      </c>
      <c r="CG47" s="34" t="e">
        <f>AND(#REF!,"AAAAAF32slQ=")</f>
        <v>#REF!</v>
      </c>
      <c r="CH47" s="34" t="e">
        <f>AND(#REF!,"AAAAAF32slU=")</f>
        <v>#REF!</v>
      </c>
      <c r="CI47" s="34" t="e">
        <f>AND(#REF!,"AAAAAF32slY=")</f>
        <v>#REF!</v>
      </c>
      <c r="CJ47" s="34" t="e">
        <f>AND(#REF!,"AAAAAF32slc=")</f>
        <v>#REF!</v>
      </c>
      <c r="CK47" s="34" t="e">
        <f>AND(#REF!,"AAAAAF32slg=")</f>
        <v>#REF!</v>
      </c>
      <c r="CL47" s="34" t="e">
        <f>AND(#REF!,"AAAAAF32slk=")</f>
        <v>#REF!</v>
      </c>
      <c r="CM47" s="34" t="e">
        <f>AND(#REF!,"AAAAAF32slo=")</f>
        <v>#REF!</v>
      </c>
      <c r="CN47" s="34" t="e">
        <f>AND(#REF!,"AAAAAF32sls=")</f>
        <v>#REF!</v>
      </c>
      <c r="CO47" s="34" t="e">
        <f>AND(#REF!,"AAAAAF32slw=")</f>
        <v>#REF!</v>
      </c>
      <c r="CP47" s="34" t="e">
        <f>AND(#REF!,"AAAAAF32sl0=")</f>
        <v>#REF!</v>
      </c>
      <c r="CQ47" s="34" t="e">
        <f>AND(#REF!,"AAAAAF32sl4=")</f>
        <v>#REF!</v>
      </c>
      <c r="CR47" s="34" t="e">
        <f>AND(#REF!,"AAAAAF32sl8=")</f>
        <v>#REF!</v>
      </c>
      <c r="CS47" s="34" t="e">
        <f>AND(#REF!,"AAAAAF32smA=")</f>
        <v>#REF!</v>
      </c>
      <c r="CT47" s="34" t="e">
        <f>AND(#REF!,"AAAAAF32smE=")</f>
        <v>#REF!</v>
      </c>
      <c r="CU47" s="34" t="e">
        <f>AND(#REF!,"AAAAAF32smI=")</f>
        <v>#REF!</v>
      </c>
      <c r="CV47" s="34" t="e">
        <f>AND(#REF!,"AAAAAF32smM=")</f>
        <v>#REF!</v>
      </c>
      <c r="CW47" s="34" t="e">
        <f>AND(#REF!,"AAAAAF32smQ=")</f>
        <v>#REF!</v>
      </c>
      <c r="CX47" s="34" t="e">
        <f>AND(#REF!,"AAAAAF32smU=")</f>
        <v>#REF!</v>
      </c>
      <c r="CY47" s="34" t="e">
        <f>AND(#REF!,"AAAAAF32smY=")</f>
        <v>#REF!</v>
      </c>
      <c r="CZ47" s="34" t="e">
        <f>AND(#REF!,"AAAAAF32smc=")</f>
        <v>#REF!</v>
      </c>
      <c r="DA47" s="34" t="e">
        <f>AND(#REF!,"AAAAAF32smg=")</f>
        <v>#REF!</v>
      </c>
      <c r="DB47" s="34" t="e">
        <f>AND(#REF!,"AAAAAF32smk=")</f>
        <v>#REF!</v>
      </c>
      <c r="DC47" s="34" t="e">
        <f>AND(#REF!,"AAAAAF32smo=")</f>
        <v>#REF!</v>
      </c>
      <c r="DD47" s="34" t="e">
        <f>AND(#REF!,"AAAAAF32sms=")</f>
        <v>#REF!</v>
      </c>
      <c r="DE47" s="34" t="e">
        <f>AND(#REF!,"AAAAAF32smw=")</f>
        <v>#REF!</v>
      </c>
      <c r="DF47" s="34" t="e">
        <f>AND(#REF!,"AAAAAF32sm0=")</f>
        <v>#REF!</v>
      </c>
      <c r="DG47" s="34" t="e">
        <f>AND(#REF!,"AAAAAF32sm4=")</f>
        <v>#REF!</v>
      </c>
      <c r="DH47" s="34" t="e">
        <f>AND(#REF!,"AAAAAF32sm8=")</f>
        <v>#REF!</v>
      </c>
      <c r="DI47" s="34" t="e">
        <f>AND(#REF!,"AAAAAF32snA=")</f>
        <v>#REF!</v>
      </c>
      <c r="DJ47" s="34" t="e">
        <f>AND(#REF!,"AAAAAF32snE=")</f>
        <v>#REF!</v>
      </c>
      <c r="DK47" s="34" t="e">
        <f>AND(#REF!,"AAAAAF32snI=")</f>
        <v>#REF!</v>
      </c>
      <c r="DL47" s="34" t="e">
        <f>AND(#REF!,"AAAAAF32snM=")</f>
        <v>#REF!</v>
      </c>
      <c r="DM47" s="34" t="e">
        <f>AND(#REF!,"AAAAAF32snQ=")</f>
        <v>#REF!</v>
      </c>
      <c r="DN47" s="34" t="e">
        <f>AND(#REF!,"AAAAAF32snU=")</f>
        <v>#REF!</v>
      </c>
      <c r="DO47" s="34" t="e">
        <f>AND(#REF!,"AAAAAF32snY=")</f>
        <v>#REF!</v>
      </c>
      <c r="DP47" s="34" t="e">
        <f>AND(#REF!,"AAAAAF32snc=")</f>
        <v>#REF!</v>
      </c>
      <c r="DQ47" s="34" t="e">
        <f>AND(#REF!,"AAAAAF32sng=")</f>
        <v>#REF!</v>
      </c>
      <c r="DR47" s="34" t="e">
        <f>AND(#REF!,"AAAAAF32snk=")</f>
        <v>#REF!</v>
      </c>
      <c r="DS47" s="34" t="e">
        <f>AND(#REF!,"AAAAAF32sno=")</f>
        <v>#REF!</v>
      </c>
      <c r="DT47" s="34" t="e">
        <f>AND(#REF!,"AAAAAF32sns=")</f>
        <v>#REF!</v>
      </c>
      <c r="DU47" s="34" t="e">
        <f>AND(#REF!,"AAAAAF32snw=")</f>
        <v>#REF!</v>
      </c>
      <c r="DV47" s="34" t="e">
        <f>AND(#REF!,"AAAAAF32sn0=")</f>
        <v>#REF!</v>
      </c>
      <c r="DW47" s="34" t="e">
        <f>AND(#REF!,"AAAAAF32sn4=")</f>
        <v>#REF!</v>
      </c>
      <c r="DX47" s="34" t="e">
        <f>AND(#REF!,"AAAAAF32sn8=")</f>
        <v>#REF!</v>
      </c>
      <c r="DY47" s="34" t="e">
        <f>AND(#REF!,"AAAAAF32soA=")</f>
        <v>#REF!</v>
      </c>
      <c r="DZ47" s="34" t="e">
        <f>AND(#REF!,"AAAAAF32soE=")</f>
        <v>#REF!</v>
      </c>
      <c r="EA47" s="34" t="e">
        <f>AND(#REF!,"AAAAAF32soI=")</f>
        <v>#REF!</v>
      </c>
      <c r="EB47" s="34" t="e">
        <f>AND(#REF!,"AAAAAF32soM=")</f>
        <v>#REF!</v>
      </c>
      <c r="EC47" s="34" t="e">
        <f>AND(#REF!,"AAAAAF32soQ=")</f>
        <v>#REF!</v>
      </c>
      <c r="ED47" s="34" t="e">
        <f>AND(#REF!,"AAAAAF32soU=")</f>
        <v>#REF!</v>
      </c>
      <c r="EE47" s="34" t="e">
        <f>AND(#REF!,"AAAAAF32soY=")</f>
        <v>#REF!</v>
      </c>
      <c r="EF47" s="34" t="e">
        <f>AND(#REF!,"AAAAAF32soc=")</f>
        <v>#REF!</v>
      </c>
      <c r="EG47" s="34" t="e">
        <f>AND(#REF!,"AAAAAF32sog=")</f>
        <v>#REF!</v>
      </c>
      <c r="EH47" s="34" t="e">
        <f>AND(#REF!,"AAAAAF32sok=")</f>
        <v>#REF!</v>
      </c>
      <c r="EI47" s="34" t="e">
        <f>AND(#REF!,"AAAAAF32soo=")</f>
        <v>#REF!</v>
      </c>
      <c r="EJ47" s="34" t="e">
        <f>AND(#REF!,"AAAAAF32sos=")</f>
        <v>#REF!</v>
      </c>
      <c r="EK47" s="34" t="e">
        <f>AND(#REF!,"AAAAAF32sow=")</f>
        <v>#REF!</v>
      </c>
      <c r="EL47" s="34" t="e">
        <f>AND(#REF!,"AAAAAF32so0=")</f>
        <v>#REF!</v>
      </c>
      <c r="EM47" s="34" t="e">
        <f>AND(#REF!,"AAAAAF32so4=")</f>
        <v>#REF!</v>
      </c>
      <c r="EN47" s="34" t="e">
        <f>AND(#REF!,"AAAAAF32so8=")</f>
        <v>#REF!</v>
      </c>
      <c r="EO47" s="34" t="e">
        <f>AND(#REF!,"AAAAAF32spA=")</f>
        <v>#REF!</v>
      </c>
      <c r="EP47" s="34" t="e">
        <f>AND(#REF!,"AAAAAF32spE=")</f>
        <v>#REF!</v>
      </c>
      <c r="EQ47" s="34" t="e">
        <f>AND(#REF!,"AAAAAF32spI=")</f>
        <v>#REF!</v>
      </c>
      <c r="ER47" s="34" t="e">
        <f>AND(#REF!,"AAAAAF32spM=")</f>
        <v>#REF!</v>
      </c>
      <c r="ES47" s="34" t="e">
        <f>IF(#REF!,"AAAAAF32spQ=",0)</f>
        <v>#REF!</v>
      </c>
      <c r="ET47" s="34" t="e">
        <f>AND(#REF!,"AAAAAF32spU=")</f>
        <v>#REF!</v>
      </c>
      <c r="EU47" s="34" t="e">
        <f>AND(#REF!,"AAAAAF32spY=")</f>
        <v>#REF!</v>
      </c>
      <c r="EV47" s="34" t="e">
        <f>AND(#REF!,"AAAAAF32spc=")</f>
        <v>#REF!</v>
      </c>
      <c r="EW47" s="34" t="e">
        <f>AND(#REF!,"AAAAAF32spg=")</f>
        <v>#REF!</v>
      </c>
      <c r="EX47" s="34" t="e">
        <f>AND(#REF!,"AAAAAF32spk=")</f>
        <v>#REF!</v>
      </c>
      <c r="EY47" s="34" t="e">
        <f>AND(#REF!,"AAAAAF32spo=")</f>
        <v>#REF!</v>
      </c>
      <c r="EZ47" s="34" t="e">
        <f>AND(#REF!,"AAAAAF32sps=")</f>
        <v>#REF!</v>
      </c>
      <c r="FA47" s="34" t="e">
        <f>AND(#REF!,"AAAAAF32spw=")</f>
        <v>#REF!</v>
      </c>
      <c r="FB47" s="34" t="e">
        <f>AND(#REF!,"AAAAAF32sp0=")</f>
        <v>#REF!</v>
      </c>
      <c r="FC47" s="34" t="e">
        <f>AND(#REF!,"AAAAAF32sp4=")</f>
        <v>#REF!</v>
      </c>
      <c r="FD47" s="34" t="e">
        <f>AND(#REF!,"AAAAAF32sp8=")</f>
        <v>#REF!</v>
      </c>
      <c r="FE47" s="34" t="e">
        <f>AND(#REF!,"AAAAAF32sqA=")</f>
        <v>#REF!</v>
      </c>
      <c r="FF47" s="34" t="e">
        <f>AND(#REF!,"AAAAAF32sqE=")</f>
        <v>#REF!</v>
      </c>
      <c r="FG47" s="34" t="e">
        <f>AND(#REF!,"AAAAAF32sqI=")</f>
        <v>#REF!</v>
      </c>
      <c r="FH47" s="34" t="e">
        <f>AND(#REF!,"AAAAAF32sqM=")</f>
        <v>#REF!</v>
      </c>
      <c r="FI47" s="34" t="e">
        <f>AND(#REF!,"AAAAAF32sqQ=")</f>
        <v>#REF!</v>
      </c>
      <c r="FJ47" s="34" t="e">
        <f>AND(#REF!,"AAAAAF32sqU=")</f>
        <v>#REF!</v>
      </c>
      <c r="FK47" s="34" t="e">
        <f>AND(#REF!,"AAAAAF32sqY=")</f>
        <v>#REF!</v>
      </c>
      <c r="FL47" s="34" t="e">
        <f>AND(#REF!,"AAAAAF32sqc=")</f>
        <v>#REF!</v>
      </c>
      <c r="FM47" s="34" t="e">
        <f>AND(#REF!,"AAAAAF32sqg=")</f>
        <v>#REF!</v>
      </c>
      <c r="FN47" s="34" t="e">
        <f>AND(#REF!,"AAAAAF32sqk=")</f>
        <v>#REF!</v>
      </c>
      <c r="FO47" s="34" t="e">
        <f>AND(#REF!,"AAAAAF32sqo=")</f>
        <v>#REF!</v>
      </c>
      <c r="FP47" s="34" t="e">
        <f>AND(#REF!,"AAAAAF32sqs=")</f>
        <v>#REF!</v>
      </c>
      <c r="FQ47" s="34" t="e">
        <f>AND(#REF!,"AAAAAF32sqw=")</f>
        <v>#REF!</v>
      </c>
      <c r="FR47" s="34" t="e">
        <f>AND(#REF!,"AAAAAF32sq0=")</f>
        <v>#REF!</v>
      </c>
      <c r="FS47" s="34" t="e">
        <f>AND(#REF!,"AAAAAF32sq4=")</f>
        <v>#REF!</v>
      </c>
      <c r="FT47" s="34" t="e">
        <f>AND(#REF!,"AAAAAF32sq8=")</f>
        <v>#REF!</v>
      </c>
      <c r="FU47" s="34" t="e">
        <f>AND(#REF!,"AAAAAF32srA=")</f>
        <v>#REF!</v>
      </c>
      <c r="FV47" s="34" t="e">
        <f>AND(#REF!,"AAAAAF32srE=")</f>
        <v>#REF!</v>
      </c>
      <c r="FW47" s="34" t="e">
        <f>AND(#REF!,"AAAAAF32srI=")</f>
        <v>#REF!</v>
      </c>
      <c r="FX47" s="34" t="e">
        <f>AND(#REF!,"AAAAAF32srM=")</f>
        <v>#REF!</v>
      </c>
      <c r="FY47" s="34" t="e">
        <f>AND(#REF!,"AAAAAF32srQ=")</f>
        <v>#REF!</v>
      </c>
      <c r="FZ47" s="34" t="e">
        <f>AND(#REF!,"AAAAAF32srU=")</f>
        <v>#REF!</v>
      </c>
      <c r="GA47" s="34" t="e">
        <f>AND(#REF!,"AAAAAF32srY=")</f>
        <v>#REF!</v>
      </c>
      <c r="GB47" s="34" t="e">
        <f>AND(#REF!,"AAAAAF32src=")</f>
        <v>#REF!</v>
      </c>
      <c r="GC47" s="34" t="e">
        <f>AND(#REF!,"AAAAAF32srg=")</f>
        <v>#REF!</v>
      </c>
      <c r="GD47" s="34" t="e">
        <f>AND(#REF!,"AAAAAF32srk=")</f>
        <v>#REF!</v>
      </c>
      <c r="GE47" s="34" t="e">
        <f>AND(#REF!,"AAAAAF32sro=")</f>
        <v>#REF!</v>
      </c>
      <c r="GF47" s="34" t="e">
        <f>AND(#REF!,"AAAAAF32srs=")</f>
        <v>#REF!</v>
      </c>
      <c r="GG47" s="34" t="e">
        <f>AND(#REF!,"AAAAAF32srw=")</f>
        <v>#REF!</v>
      </c>
      <c r="GH47" s="34" t="e">
        <f>AND(#REF!,"AAAAAF32sr0=")</f>
        <v>#REF!</v>
      </c>
      <c r="GI47" s="34" t="e">
        <f>AND(#REF!,"AAAAAF32sr4=")</f>
        <v>#REF!</v>
      </c>
      <c r="GJ47" s="34" t="e">
        <f>AND(#REF!,"AAAAAF32sr8=")</f>
        <v>#REF!</v>
      </c>
      <c r="GK47" s="34" t="e">
        <f>AND(#REF!,"AAAAAF32ssA=")</f>
        <v>#REF!</v>
      </c>
      <c r="GL47" s="34" t="e">
        <f>AND(#REF!,"AAAAAF32ssE=")</f>
        <v>#REF!</v>
      </c>
      <c r="GM47" s="34" t="e">
        <f>AND(#REF!,"AAAAAF32ssI=")</f>
        <v>#REF!</v>
      </c>
      <c r="GN47" s="34" t="e">
        <f>AND(#REF!,"AAAAAF32ssM=")</f>
        <v>#REF!</v>
      </c>
      <c r="GO47" s="34" t="e">
        <f>AND(#REF!,"AAAAAF32ssQ=")</f>
        <v>#REF!</v>
      </c>
      <c r="GP47" s="34" t="e">
        <f>AND(#REF!,"AAAAAF32ssU=")</f>
        <v>#REF!</v>
      </c>
      <c r="GQ47" s="34" t="e">
        <f>AND(#REF!,"AAAAAF32ssY=")</f>
        <v>#REF!</v>
      </c>
      <c r="GR47" s="34" t="e">
        <f>AND(#REF!,"AAAAAF32ssc=")</f>
        <v>#REF!</v>
      </c>
      <c r="GS47" s="34" t="e">
        <f>AND(#REF!,"AAAAAF32ssg=")</f>
        <v>#REF!</v>
      </c>
      <c r="GT47" s="34" t="e">
        <f>AND(#REF!,"AAAAAF32ssk=")</f>
        <v>#REF!</v>
      </c>
      <c r="GU47" s="34" t="e">
        <f>AND(#REF!,"AAAAAF32sso=")</f>
        <v>#REF!</v>
      </c>
      <c r="GV47" s="34" t="e">
        <f>AND(#REF!,"AAAAAF32sss=")</f>
        <v>#REF!</v>
      </c>
      <c r="GW47" s="34" t="e">
        <f>AND(#REF!,"AAAAAF32ssw=")</f>
        <v>#REF!</v>
      </c>
      <c r="GX47" s="34" t="e">
        <f>AND(#REF!,"AAAAAF32ss0=")</f>
        <v>#REF!</v>
      </c>
      <c r="GY47" s="34" t="e">
        <f>AND(#REF!,"AAAAAF32ss4=")</f>
        <v>#REF!</v>
      </c>
      <c r="GZ47" s="34" t="e">
        <f>AND(#REF!,"AAAAAF32ss8=")</f>
        <v>#REF!</v>
      </c>
      <c r="HA47" s="34" t="e">
        <f>AND(#REF!,"AAAAAF32stA=")</f>
        <v>#REF!</v>
      </c>
      <c r="HB47" s="34" t="e">
        <f>AND(#REF!,"AAAAAF32stE=")</f>
        <v>#REF!</v>
      </c>
      <c r="HC47" s="34" t="e">
        <f>AND(#REF!,"AAAAAF32stI=")</f>
        <v>#REF!</v>
      </c>
      <c r="HD47" s="34" t="e">
        <f>AND(#REF!,"AAAAAF32stM=")</f>
        <v>#REF!</v>
      </c>
      <c r="HE47" s="34" t="e">
        <f>AND(#REF!,"AAAAAF32stQ=")</f>
        <v>#REF!</v>
      </c>
      <c r="HF47" s="34" t="e">
        <f>AND(#REF!,"AAAAAF32stU=")</f>
        <v>#REF!</v>
      </c>
      <c r="HG47" s="34" t="e">
        <f>AND(#REF!,"AAAAAF32stY=")</f>
        <v>#REF!</v>
      </c>
      <c r="HH47" s="34" t="e">
        <f>AND(#REF!,"AAAAAF32stc=")</f>
        <v>#REF!</v>
      </c>
      <c r="HI47" s="34" t="e">
        <f>AND(#REF!,"AAAAAF32stg=")</f>
        <v>#REF!</v>
      </c>
      <c r="HJ47" s="34" t="e">
        <f>AND(#REF!,"AAAAAF32stk=")</f>
        <v>#REF!</v>
      </c>
      <c r="HK47" s="34" t="e">
        <f>AND(#REF!,"AAAAAF32sto=")</f>
        <v>#REF!</v>
      </c>
      <c r="HL47" s="34" t="e">
        <f>AND(#REF!,"AAAAAF32sts=")</f>
        <v>#REF!</v>
      </c>
      <c r="HM47" s="34" t="e">
        <f>AND(#REF!,"AAAAAF32stw=")</f>
        <v>#REF!</v>
      </c>
      <c r="HN47" s="34" t="e">
        <f>IF(#REF!,"AAAAAF32st0=",0)</f>
        <v>#REF!</v>
      </c>
      <c r="HO47" s="34" t="e">
        <f>AND(#REF!,"AAAAAF32st4=")</f>
        <v>#REF!</v>
      </c>
      <c r="HP47" s="34" t="e">
        <f>AND(#REF!,"AAAAAF32st8=")</f>
        <v>#REF!</v>
      </c>
      <c r="HQ47" s="34" t="e">
        <f>AND(#REF!,"AAAAAF32suA=")</f>
        <v>#REF!</v>
      </c>
      <c r="HR47" s="34" t="e">
        <f>AND(#REF!,"AAAAAF32suE=")</f>
        <v>#REF!</v>
      </c>
      <c r="HS47" s="34" t="e">
        <f>AND(#REF!,"AAAAAF32suI=")</f>
        <v>#REF!</v>
      </c>
      <c r="HT47" s="34" t="e">
        <f>AND(#REF!,"AAAAAF32suM=")</f>
        <v>#REF!</v>
      </c>
      <c r="HU47" s="34" t="e">
        <f>AND(#REF!,"AAAAAF32suQ=")</f>
        <v>#REF!</v>
      </c>
      <c r="HV47" s="34" t="e">
        <f>AND(#REF!,"AAAAAF32suU=")</f>
        <v>#REF!</v>
      </c>
      <c r="HW47" s="34" t="e">
        <f>AND(#REF!,"AAAAAF32suY=")</f>
        <v>#REF!</v>
      </c>
      <c r="HX47" s="34" t="e">
        <f>AND(#REF!,"AAAAAF32suc=")</f>
        <v>#REF!</v>
      </c>
      <c r="HY47" s="34" t="e">
        <f>AND(#REF!,"AAAAAF32sug=")</f>
        <v>#REF!</v>
      </c>
      <c r="HZ47" s="34" t="e">
        <f>AND(#REF!,"AAAAAF32suk=")</f>
        <v>#REF!</v>
      </c>
      <c r="IA47" s="34" t="e">
        <f>AND(#REF!,"AAAAAF32suo=")</f>
        <v>#REF!</v>
      </c>
      <c r="IB47" s="34" t="e">
        <f>AND(#REF!,"AAAAAF32sus=")</f>
        <v>#REF!</v>
      </c>
      <c r="IC47" s="34" t="e">
        <f>AND(#REF!,"AAAAAF32suw=")</f>
        <v>#REF!</v>
      </c>
      <c r="ID47" s="34" t="e">
        <f>AND(#REF!,"AAAAAF32su0=")</f>
        <v>#REF!</v>
      </c>
      <c r="IE47" s="34" t="e">
        <f>AND(#REF!,"AAAAAF32su4=")</f>
        <v>#REF!</v>
      </c>
      <c r="IF47" s="34" t="e">
        <f>AND(#REF!,"AAAAAF32su8=")</f>
        <v>#REF!</v>
      </c>
      <c r="IG47" s="34" t="e">
        <f>AND(#REF!,"AAAAAF32svA=")</f>
        <v>#REF!</v>
      </c>
      <c r="IH47" s="34" t="e">
        <f>AND(#REF!,"AAAAAF32svE=")</f>
        <v>#REF!</v>
      </c>
      <c r="II47" s="34" t="e">
        <f>AND(#REF!,"AAAAAF32svI=")</f>
        <v>#REF!</v>
      </c>
      <c r="IJ47" s="34" t="e">
        <f>AND(#REF!,"AAAAAF32svM=")</f>
        <v>#REF!</v>
      </c>
      <c r="IK47" s="34" t="e">
        <f>AND(#REF!,"AAAAAF32svQ=")</f>
        <v>#REF!</v>
      </c>
      <c r="IL47" s="34" t="e">
        <f>AND(#REF!,"AAAAAF32svU=")</f>
        <v>#REF!</v>
      </c>
      <c r="IM47" s="34" t="e">
        <f>AND(#REF!,"AAAAAF32svY=")</f>
        <v>#REF!</v>
      </c>
      <c r="IN47" s="34" t="e">
        <f>AND(#REF!,"AAAAAF32svc=")</f>
        <v>#REF!</v>
      </c>
      <c r="IO47" s="34" t="e">
        <f>AND(#REF!,"AAAAAF32svg=")</f>
        <v>#REF!</v>
      </c>
      <c r="IP47" s="34" t="e">
        <f>AND(#REF!,"AAAAAF32svk=")</f>
        <v>#REF!</v>
      </c>
      <c r="IQ47" s="34" t="e">
        <f>AND(#REF!,"AAAAAF32svo=")</f>
        <v>#REF!</v>
      </c>
      <c r="IR47" s="34" t="e">
        <f>AND(#REF!,"AAAAAF32svs=")</f>
        <v>#REF!</v>
      </c>
      <c r="IS47" s="34" t="e">
        <f>AND(#REF!,"AAAAAF32svw=")</f>
        <v>#REF!</v>
      </c>
      <c r="IT47" s="34" t="e">
        <f>AND(#REF!,"AAAAAF32sv0=")</f>
        <v>#REF!</v>
      </c>
      <c r="IU47" s="34" t="e">
        <f>AND(#REF!,"AAAAAF32sv4=")</f>
        <v>#REF!</v>
      </c>
      <c r="IV47" s="34" t="e">
        <f>AND(#REF!,"AAAAAF32sv8=")</f>
        <v>#REF!</v>
      </c>
    </row>
    <row r="48" spans="1:256" ht="12.75" customHeight="1" x14ac:dyDescent="0.2">
      <c r="A48" s="34" t="e">
        <f>AND(#REF!,"AAAAAF/z2wA=")</f>
        <v>#REF!</v>
      </c>
      <c r="B48" s="34" t="e">
        <f>AND(#REF!,"AAAAAF/z2wE=")</f>
        <v>#REF!</v>
      </c>
      <c r="C48" s="34" t="e">
        <f>AND(#REF!,"AAAAAF/z2wI=")</f>
        <v>#REF!</v>
      </c>
      <c r="D48" s="34" t="e">
        <f>AND(#REF!,"AAAAAF/z2wM=")</f>
        <v>#REF!</v>
      </c>
      <c r="E48" s="34" t="e">
        <f>AND(#REF!,"AAAAAF/z2wQ=")</f>
        <v>#REF!</v>
      </c>
      <c r="F48" s="34" t="e">
        <f>AND(#REF!,"AAAAAF/z2wU=")</f>
        <v>#REF!</v>
      </c>
      <c r="G48" s="34" t="e">
        <f>AND(#REF!,"AAAAAF/z2wY=")</f>
        <v>#REF!</v>
      </c>
      <c r="H48" s="34" t="e">
        <f>AND(#REF!,"AAAAAF/z2wc=")</f>
        <v>#REF!</v>
      </c>
      <c r="I48" s="34" t="e">
        <f>AND(#REF!,"AAAAAF/z2wg=")</f>
        <v>#REF!</v>
      </c>
      <c r="J48" s="34" t="e">
        <f>AND(#REF!,"AAAAAF/z2wk=")</f>
        <v>#REF!</v>
      </c>
      <c r="K48" s="34" t="e">
        <f>AND(#REF!,"AAAAAF/z2wo=")</f>
        <v>#REF!</v>
      </c>
      <c r="L48" s="34" t="e">
        <f>AND(#REF!,"AAAAAF/z2ws=")</f>
        <v>#REF!</v>
      </c>
      <c r="M48" s="34" t="e">
        <f>AND(#REF!,"AAAAAF/z2ww=")</f>
        <v>#REF!</v>
      </c>
      <c r="N48" s="34" t="e">
        <f>AND(#REF!,"AAAAAF/z2w0=")</f>
        <v>#REF!</v>
      </c>
      <c r="O48" s="34" t="e">
        <f>AND(#REF!,"AAAAAF/z2w4=")</f>
        <v>#REF!</v>
      </c>
      <c r="P48" s="34" t="e">
        <f>AND(#REF!,"AAAAAF/z2w8=")</f>
        <v>#REF!</v>
      </c>
      <c r="Q48" s="34" t="e">
        <f>AND(#REF!,"AAAAAF/z2xA=")</f>
        <v>#REF!</v>
      </c>
      <c r="R48" s="34" t="e">
        <f>AND(#REF!,"AAAAAF/z2xE=")</f>
        <v>#REF!</v>
      </c>
      <c r="S48" s="34" t="e">
        <f>AND(#REF!,"AAAAAF/z2xI=")</f>
        <v>#REF!</v>
      </c>
      <c r="T48" s="34" t="e">
        <f>AND(#REF!,"AAAAAF/z2xM=")</f>
        <v>#REF!</v>
      </c>
      <c r="U48" s="34" t="e">
        <f>AND(#REF!,"AAAAAF/z2xQ=")</f>
        <v>#REF!</v>
      </c>
      <c r="V48" s="34" t="e">
        <f>AND(#REF!,"AAAAAF/z2xU=")</f>
        <v>#REF!</v>
      </c>
      <c r="W48" s="34" t="e">
        <f>AND(#REF!,"AAAAAF/z2xY=")</f>
        <v>#REF!</v>
      </c>
      <c r="X48" s="34" t="e">
        <f>AND(#REF!,"AAAAAF/z2xc=")</f>
        <v>#REF!</v>
      </c>
      <c r="Y48" s="34" t="e">
        <f>AND(#REF!,"AAAAAF/z2xg=")</f>
        <v>#REF!</v>
      </c>
      <c r="Z48" s="34" t="e">
        <f>AND(#REF!,"AAAAAF/z2xk=")</f>
        <v>#REF!</v>
      </c>
      <c r="AA48" s="34" t="e">
        <f>AND(#REF!,"AAAAAF/z2xo=")</f>
        <v>#REF!</v>
      </c>
      <c r="AB48" s="34" t="e">
        <f>AND(#REF!,"AAAAAF/z2xs=")</f>
        <v>#REF!</v>
      </c>
      <c r="AC48" s="34" t="e">
        <f>AND(#REF!,"AAAAAF/z2xw=")</f>
        <v>#REF!</v>
      </c>
      <c r="AD48" s="34" t="e">
        <f>AND(#REF!,"AAAAAF/z2x0=")</f>
        <v>#REF!</v>
      </c>
      <c r="AE48" s="34" t="e">
        <f>AND(#REF!,"AAAAAF/z2x4=")</f>
        <v>#REF!</v>
      </c>
      <c r="AF48" s="34" t="e">
        <f>AND(#REF!,"AAAAAF/z2x8=")</f>
        <v>#REF!</v>
      </c>
      <c r="AG48" s="34" t="e">
        <f>AND(#REF!,"AAAAAF/z2yA=")</f>
        <v>#REF!</v>
      </c>
      <c r="AH48" s="34" t="e">
        <f>AND(#REF!,"AAAAAF/z2yE=")</f>
        <v>#REF!</v>
      </c>
      <c r="AI48" s="34" t="e">
        <f>AND(#REF!,"AAAAAF/z2yI=")</f>
        <v>#REF!</v>
      </c>
      <c r="AJ48" s="34" t="e">
        <f>AND(#REF!,"AAAAAF/z2yM=")</f>
        <v>#REF!</v>
      </c>
      <c r="AK48" s="34" t="e">
        <f>AND(#REF!,"AAAAAF/z2yQ=")</f>
        <v>#REF!</v>
      </c>
      <c r="AL48" s="34" t="e">
        <f>AND(#REF!,"AAAAAF/z2yU=")</f>
        <v>#REF!</v>
      </c>
      <c r="AM48" s="34" t="e">
        <f>IF(#REF!,"AAAAAF/z2yY=",0)</f>
        <v>#REF!</v>
      </c>
      <c r="AN48" s="34" t="e">
        <f>AND(#REF!,"AAAAAF/z2yc=")</f>
        <v>#REF!</v>
      </c>
      <c r="AO48" s="34" t="e">
        <f>AND(#REF!,"AAAAAF/z2yg=")</f>
        <v>#REF!</v>
      </c>
      <c r="AP48" s="34" t="e">
        <f>AND(#REF!,"AAAAAF/z2yk=")</f>
        <v>#REF!</v>
      </c>
      <c r="AQ48" s="34" t="e">
        <f>AND(#REF!,"AAAAAF/z2yo=")</f>
        <v>#REF!</v>
      </c>
      <c r="AR48" s="34" t="e">
        <f>AND(#REF!,"AAAAAF/z2ys=")</f>
        <v>#REF!</v>
      </c>
      <c r="AS48" s="34" t="e">
        <f>AND(#REF!,"AAAAAF/z2yw=")</f>
        <v>#REF!</v>
      </c>
      <c r="AT48" s="34" t="e">
        <f>AND(#REF!,"AAAAAF/z2y0=")</f>
        <v>#REF!</v>
      </c>
      <c r="AU48" s="34" t="e">
        <f>AND(#REF!,"AAAAAF/z2y4=")</f>
        <v>#REF!</v>
      </c>
      <c r="AV48" s="34" t="e">
        <f>AND(#REF!,"AAAAAF/z2y8=")</f>
        <v>#REF!</v>
      </c>
      <c r="AW48" s="34" t="e">
        <f>AND(#REF!,"AAAAAF/z2zA=")</f>
        <v>#REF!</v>
      </c>
      <c r="AX48" s="34" t="e">
        <f>AND(#REF!,"AAAAAF/z2zE=")</f>
        <v>#REF!</v>
      </c>
      <c r="AY48" s="34" t="e">
        <f>AND(#REF!,"AAAAAF/z2zI=")</f>
        <v>#REF!</v>
      </c>
      <c r="AZ48" s="34" t="e">
        <f>AND(#REF!,"AAAAAF/z2zM=")</f>
        <v>#REF!</v>
      </c>
      <c r="BA48" s="34" t="e">
        <f>AND(#REF!,"AAAAAF/z2zQ=")</f>
        <v>#REF!</v>
      </c>
      <c r="BB48" s="34" t="e">
        <f>AND(#REF!,"AAAAAF/z2zU=")</f>
        <v>#REF!</v>
      </c>
      <c r="BC48" s="34" t="e">
        <f>AND(#REF!,"AAAAAF/z2zY=")</f>
        <v>#REF!</v>
      </c>
      <c r="BD48" s="34" t="e">
        <f>AND(#REF!,"AAAAAF/z2zc=")</f>
        <v>#REF!</v>
      </c>
      <c r="BE48" s="34" t="e">
        <f>AND(#REF!,"AAAAAF/z2zg=")</f>
        <v>#REF!</v>
      </c>
      <c r="BF48" s="34" t="e">
        <f>AND(#REF!,"AAAAAF/z2zk=")</f>
        <v>#REF!</v>
      </c>
      <c r="BG48" s="34" t="e">
        <f>AND(#REF!,"AAAAAF/z2zo=")</f>
        <v>#REF!</v>
      </c>
      <c r="BH48" s="34" t="e">
        <f>AND(#REF!,"AAAAAF/z2zs=")</f>
        <v>#REF!</v>
      </c>
      <c r="BI48" s="34" t="e">
        <f>AND(#REF!,"AAAAAF/z2zw=")</f>
        <v>#REF!</v>
      </c>
      <c r="BJ48" s="34" t="e">
        <f>AND(#REF!,"AAAAAF/z2z0=")</f>
        <v>#REF!</v>
      </c>
      <c r="BK48" s="34" t="e">
        <f>AND(#REF!,"AAAAAF/z2z4=")</f>
        <v>#REF!</v>
      </c>
      <c r="BL48" s="34" t="e">
        <f>AND(#REF!,"AAAAAF/z2z8=")</f>
        <v>#REF!</v>
      </c>
      <c r="BM48" s="34" t="e">
        <f>AND(#REF!,"AAAAAF/z20A=")</f>
        <v>#REF!</v>
      </c>
      <c r="BN48" s="34" t="e">
        <f>AND(#REF!,"AAAAAF/z20E=")</f>
        <v>#REF!</v>
      </c>
      <c r="BO48" s="34" t="e">
        <f>AND(#REF!,"AAAAAF/z20I=")</f>
        <v>#REF!</v>
      </c>
      <c r="BP48" s="34" t="e">
        <f>AND(#REF!,"AAAAAF/z20M=")</f>
        <v>#REF!</v>
      </c>
      <c r="BQ48" s="34" t="e">
        <f>AND(#REF!,"AAAAAF/z20Q=")</f>
        <v>#REF!</v>
      </c>
      <c r="BR48" s="34" t="e">
        <f>AND(#REF!,"AAAAAF/z20U=")</f>
        <v>#REF!</v>
      </c>
      <c r="BS48" s="34" t="e">
        <f>AND(#REF!,"AAAAAF/z20Y=")</f>
        <v>#REF!</v>
      </c>
      <c r="BT48" s="34" t="e">
        <f>AND(#REF!,"AAAAAF/z20c=")</f>
        <v>#REF!</v>
      </c>
      <c r="BU48" s="34" t="e">
        <f>AND(#REF!,"AAAAAF/z20g=")</f>
        <v>#REF!</v>
      </c>
      <c r="BV48" s="34" t="e">
        <f>AND(#REF!,"AAAAAF/z20k=")</f>
        <v>#REF!</v>
      </c>
      <c r="BW48" s="34" t="e">
        <f>AND(#REF!,"AAAAAF/z20o=")</f>
        <v>#REF!</v>
      </c>
      <c r="BX48" s="34" t="e">
        <f>AND(#REF!,"AAAAAF/z20s=")</f>
        <v>#REF!</v>
      </c>
      <c r="BY48" s="34" t="e">
        <f>AND(#REF!,"AAAAAF/z20w=")</f>
        <v>#REF!</v>
      </c>
      <c r="BZ48" s="34" t="e">
        <f>AND(#REF!,"AAAAAF/z200=")</f>
        <v>#REF!</v>
      </c>
      <c r="CA48" s="34" t="e">
        <f>AND(#REF!,"AAAAAF/z204=")</f>
        <v>#REF!</v>
      </c>
      <c r="CB48" s="34" t="e">
        <f>AND(#REF!,"AAAAAF/z208=")</f>
        <v>#REF!</v>
      </c>
      <c r="CC48" s="34" t="e">
        <f>AND(#REF!,"AAAAAF/z21A=")</f>
        <v>#REF!</v>
      </c>
      <c r="CD48" s="34" t="e">
        <f>AND(#REF!,"AAAAAF/z21E=")</f>
        <v>#REF!</v>
      </c>
      <c r="CE48" s="34" t="e">
        <f>AND(#REF!,"AAAAAF/z21I=")</f>
        <v>#REF!</v>
      </c>
      <c r="CF48" s="34" t="e">
        <f>AND(#REF!,"AAAAAF/z21M=")</f>
        <v>#REF!</v>
      </c>
      <c r="CG48" s="34" t="e">
        <f>AND(#REF!,"AAAAAF/z21Q=")</f>
        <v>#REF!</v>
      </c>
      <c r="CH48" s="34" t="e">
        <f>AND(#REF!,"AAAAAF/z21U=")</f>
        <v>#REF!</v>
      </c>
      <c r="CI48" s="34" t="e">
        <f>AND(#REF!,"AAAAAF/z21Y=")</f>
        <v>#REF!</v>
      </c>
      <c r="CJ48" s="34" t="e">
        <f>AND(#REF!,"AAAAAF/z21c=")</f>
        <v>#REF!</v>
      </c>
      <c r="CK48" s="34" t="e">
        <f>AND(#REF!,"AAAAAF/z21g=")</f>
        <v>#REF!</v>
      </c>
      <c r="CL48" s="34" t="e">
        <f>AND(#REF!,"AAAAAF/z21k=")</f>
        <v>#REF!</v>
      </c>
      <c r="CM48" s="34" t="e">
        <f>AND(#REF!,"AAAAAF/z21o=")</f>
        <v>#REF!</v>
      </c>
      <c r="CN48" s="34" t="e">
        <f>AND(#REF!,"AAAAAF/z21s=")</f>
        <v>#REF!</v>
      </c>
      <c r="CO48" s="34" t="e">
        <f>AND(#REF!,"AAAAAF/z21w=")</f>
        <v>#REF!</v>
      </c>
      <c r="CP48" s="34" t="e">
        <f>AND(#REF!,"AAAAAF/z210=")</f>
        <v>#REF!</v>
      </c>
      <c r="CQ48" s="34" t="e">
        <f>AND(#REF!,"AAAAAF/z214=")</f>
        <v>#REF!</v>
      </c>
      <c r="CR48" s="34" t="e">
        <f>AND(#REF!,"AAAAAF/z218=")</f>
        <v>#REF!</v>
      </c>
      <c r="CS48" s="34" t="e">
        <f>AND(#REF!,"AAAAAF/z22A=")</f>
        <v>#REF!</v>
      </c>
      <c r="CT48" s="34" t="e">
        <f>AND(#REF!,"AAAAAF/z22E=")</f>
        <v>#REF!</v>
      </c>
      <c r="CU48" s="34" t="e">
        <f>AND(#REF!,"AAAAAF/z22I=")</f>
        <v>#REF!</v>
      </c>
      <c r="CV48" s="34" t="e">
        <f>AND(#REF!,"AAAAAF/z22M=")</f>
        <v>#REF!</v>
      </c>
      <c r="CW48" s="34" t="e">
        <f>AND(#REF!,"AAAAAF/z22Q=")</f>
        <v>#REF!</v>
      </c>
      <c r="CX48" s="34" t="e">
        <f>AND(#REF!,"AAAAAF/z22U=")</f>
        <v>#REF!</v>
      </c>
      <c r="CY48" s="34" t="e">
        <f>AND(#REF!,"AAAAAF/z22Y=")</f>
        <v>#REF!</v>
      </c>
      <c r="CZ48" s="34" t="e">
        <f>AND(#REF!,"AAAAAF/z22c=")</f>
        <v>#REF!</v>
      </c>
      <c r="DA48" s="34" t="e">
        <f>AND(#REF!,"AAAAAF/z22g=")</f>
        <v>#REF!</v>
      </c>
      <c r="DB48" s="34" t="e">
        <f>AND(#REF!,"AAAAAF/z22k=")</f>
        <v>#REF!</v>
      </c>
      <c r="DC48" s="34" t="e">
        <f>AND(#REF!,"AAAAAF/z22o=")</f>
        <v>#REF!</v>
      </c>
      <c r="DD48" s="34" t="e">
        <f>AND(#REF!,"AAAAAF/z22s=")</f>
        <v>#REF!</v>
      </c>
      <c r="DE48" s="34" t="e">
        <f>AND(#REF!,"AAAAAF/z22w=")</f>
        <v>#REF!</v>
      </c>
      <c r="DF48" s="34" t="e">
        <f>AND(#REF!,"AAAAAF/z220=")</f>
        <v>#REF!</v>
      </c>
      <c r="DG48" s="34" t="e">
        <f>AND(#REF!,"AAAAAF/z224=")</f>
        <v>#REF!</v>
      </c>
      <c r="DH48" s="34" t="e">
        <f>IF(#REF!,"AAAAAF/z228=",0)</f>
        <v>#REF!</v>
      </c>
      <c r="DI48" s="34" t="e">
        <f>AND(#REF!,"AAAAAF/z23A=")</f>
        <v>#REF!</v>
      </c>
      <c r="DJ48" s="34" t="e">
        <f>AND(#REF!,"AAAAAF/z23E=")</f>
        <v>#REF!</v>
      </c>
      <c r="DK48" s="34" t="e">
        <f>AND(#REF!,"AAAAAF/z23I=")</f>
        <v>#REF!</v>
      </c>
      <c r="DL48" s="34" t="e">
        <f>AND(#REF!,"AAAAAF/z23M=")</f>
        <v>#REF!</v>
      </c>
      <c r="DM48" s="34" t="e">
        <f>AND(#REF!,"AAAAAF/z23Q=")</f>
        <v>#REF!</v>
      </c>
      <c r="DN48" s="34" t="e">
        <f>AND(#REF!,"AAAAAF/z23U=")</f>
        <v>#REF!</v>
      </c>
      <c r="DO48" s="34" t="e">
        <f>AND(#REF!,"AAAAAF/z23Y=")</f>
        <v>#REF!</v>
      </c>
      <c r="DP48" s="34" t="e">
        <f>AND(#REF!,"AAAAAF/z23c=")</f>
        <v>#REF!</v>
      </c>
      <c r="DQ48" s="34" t="e">
        <f>AND(#REF!,"AAAAAF/z23g=")</f>
        <v>#REF!</v>
      </c>
      <c r="DR48" s="34" t="e">
        <f>AND(#REF!,"AAAAAF/z23k=")</f>
        <v>#REF!</v>
      </c>
      <c r="DS48" s="34" t="e">
        <f>AND(#REF!,"AAAAAF/z23o=")</f>
        <v>#REF!</v>
      </c>
      <c r="DT48" s="34" t="e">
        <f>AND(#REF!,"AAAAAF/z23s=")</f>
        <v>#REF!</v>
      </c>
      <c r="DU48" s="34" t="e">
        <f>AND(#REF!,"AAAAAF/z23w=")</f>
        <v>#REF!</v>
      </c>
      <c r="DV48" s="34" t="e">
        <f>AND(#REF!,"AAAAAF/z230=")</f>
        <v>#REF!</v>
      </c>
      <c r="DW48" s="34" t="e">
        <f>AND(#REF!,"AAAAAF/z234=")</f>
        <v>#REF!</v>
      </c>
      <c r="DX48" s="34" t="e">
        <f>AND(#REF!,"AAAAAF/z238=")</f>
        <v>#REF!</v>
      </c>
      <c r="DY48" s="34" t="e">
        <f>AND(#REF!,"AAAAAF/z24A=")</f>
        <v>#REF!</v>
      </c>
      <c r="DZ48" s="34" t="e">
        <f>AND(#REF!,"AAAAAF/z24E=")</f>
        <v>#REF!</v>
      </c>
      <c r="EA48" s="34" t="e">
        <f>AND(#REF!,"AAAAAF/z24I=")</f>
        <v>#REF!</v>
      </c>
      <c r="EB48" s="34" t="e">
        <f>AND(#REF!,"AAAAAF/z24M=")</f>
        <v>#REF!</v>
      </c>
      <c r="EC48" s="34" t="e">
        <f>AND(#REF!,"AAAAAF/z24Q=")</f>
        <v>#REF!</v>
      </c>
      <c r="ED48" s="34" t="e">
        <f>AND(#REF!,"AAAAAF/z24U=")</f>
        <v>#REF!</v>
      </c>
      <c r="EE48" s="34" t="e">
        <f>AND(#REF!,"AAAAAF/z24Y=")</f>
        <v>#REF!</v>
      </c>
      <c r="EF48" s="34" t="e">
        <f>AND(#REF!,"AAAAAF/z24c=")</f>
        <v>#REF!</v>
      </c>
      <c r="EG48" s="34" t="e">
        <f>AND(#REF!,"AAAAAF/z24g=")</f>
        <v>#REF!</v>
      </c>
      <c r="EH48" s="34" t="e">
        <f>AND(#REF!,"AAAAAF/z24k=")</f>
        <v>#REF!</v>
      </c>
      <c r="EI48" s="34" t="e">
        <f>AND(#REF!,"AAAAAF/z24o=")</f>
        <v>#REF!</v>
      </c>
      <c r="EJ48" s="34" t="e">
        <f>AND(#REF!,"AAAAAF/z24s=")</f>
        <v>#REF!</v>
      </c>
      <c r="EK48" s="34" t="e">
        <f>AND(#REF!,"AAAAAF/z24w=")</f>
        <v>#REF!</v>
      </c>
      <c r="EL48" s="34" t="e">
        <f>AND(#REF!,"AAAAAF/z240=")</f>
        <v>#REF!</v>
      </c>
      <c r="EM48" s="34" t="e">
        <f>AND(#REF!,"AAAAAF/z244=")</f>
        <v>#REF!</v>
      </c>
      <c r="EN48" s="34" t="e">
        <f>AND(#REF!,"AAAAAF/z248=")</f>
        <v>#REF!</v>
      </c>
      <c r="EO48" s="34" t="e">
        <f>AND(#REF!,"AAAAAF/z25A=")</f>
        <v>#REF!</v>
      </c>
      <c r="EP48" s="34" t="e">
        <f>AND(#REF!,"AAAAAF/z25E=")</f>
        <v>#REF!</v>
      </c>
      <c r="EQ48" s="34" t="e">
        <f>AND(#REF!,"AAAAAF/z25I=")</f>
        <v>#REF!</v>
      </c>
      <c r="ER48" s="34" t="e">
        <f>AND(#REF!,"AAAAAF/z25M=")</f>
        <v>#REF!</v>
      </c>
      <c r="ES48" s="34" t="e">
        <f>AND(#REF!,"AAAAAF/z25Q=")</f>
        <v>#REF!</v>
      </c>
      <c r="ET48" s="34" t="e">
        <f>AND(#REF!,"AAAAAF/z25U=")</f>
        <v>#REF!</v>
      </c>
      <c r="EU48" s="34" t="e">
        <f>AND(#REF!,"AAAAAF/z25Y=")</f>
        <v>#REF!</v>
      </c>
      <c r="EV48" s="34" t="e">
        <f>AND(#REF!,"AAAAAF/z25c=")</f>
        <v>#REF!</v>
      </c>
      <c r="EW48" s="34" t="e">
        <f>AND(#REF!,"AAAAAF/z25g=")</f>
        <v>#REF!</v>
      </c>
      <c r="EX48" s="34" t="e">
        <f>AND(#REF!,"AAAAAF/z25k=")</f>
        <v>#REF!</v>
      </c>
      <c r="EY48" s="34" t="e">
        <f>AND(#REF!,"AAAAAF/z25o=")</f>
        <v>#REF!</v>
      </c>
      <c r="EZ48" s="34" t="e">
        <f>AND(#REF!,"AAAAAF/z25s=")</f>
        <v>#REF!</v>
      </c>
      <c r="FA48" s="34" t="e">
        <f>AND(#REF!,"AAAAAF/z25w=")</f>
        <v>#REF!</v>
      </c>
      <c r="FB48" s="34" t="e">
        <f>AND(#REF!,"AAAAAF/z250=")</f>
        <v>#REF!</v>
      </c>
      <c r="FC48" s="34" t="e">
        <f>AND(#REF!,"AAAAAF/z254=")</f>
        <v>#REF!</v>
      </c>
      <c r="FD48" s="34" t="e">
        <f>AND(#REF!,"AAAAAF/z258=")</f>
        <v>#REF!</v>
      </c>
      <c r="FE48" s="34" t="e">
        <f>AND(#REF!,"AAAAAF/z26A=")</f>
        <v>#REF!</v>
      </c>
      <c r="FF48" s="34" t="e">
        <f>AND(#REF!,"AAAAAF/z26E=")</f>
        <v>#REF!</v>
      </c>
      <c r="FG48" s="34" t="e">
        <f>AND(#REF!,"AAAAAF/z26I=")</f>
        <v>#REF!</v>
      </c>
      <c r="FH48" s="34" t="e">
        <f>AND(#REF!,"AAAAAF/z26M=")</f>
        <v>#REF!</v>
      </c>
      <c r="FI48" s="34" t="e">
        <f>AND(#REF!,"AAAAAF/z26Q=")</f>
        <v>#REF!</v>
      </c>
      <c r="FJ48" s="34" t="e">
        <f>AND(#REF!,"AAAAAF/z26U=")</f>
        <v>#REF!</v>
      </c>
      <c r="FK48" s="34" t="e">
        <f>AND(#REF!,"AAAAAF/z26Y=")</f>
        <v>#REF!</v>
      </c>
      <c r="FL48" s="34" t="e">
        <f>AND(#REF!,"AAAAAF/z26c=")</f>
        <v>#REF!</v>
      </c>
      <c r="FM48" s="34" t="e">
        <f>AND(#REF!,"AAAAAF/z26g=")</f>
        <v>#REF!</v>
      </c>
      <c r="FN48" s="34" t="e">
        <f>AND(#REF!,"AAAAAF/z26k=")</f>
        <v>#REF!</v>
      </c>
      <c r="FO48" s="34" t="e">
        <f>AND(#REF!,"AAAAAF/z26o=")</f>
        <v>#REF!</v>
      </c>
      <c r="FP48" s="34" t="e">
        <f>AND(#REF!,"AAAAAF/z26s=")</f>
        <v>#REF!</v>
      </c>
      <c r="FQ48" s="34" t="e">
        <f>AND(#REF!,"AAAAAF/z26w=")</f>
        <v>#REF!</v>
      </c>
      <c r="FR48" s="34" t="e">
        <f>AND(#REF!,"AAAAAF/z260=")</f>
        <v>#REF!</v>
      </c>
      <c r="FS48" s="34" t="e">
        <f>AND(#REF!,"AAAAAF/z264=")</f>
        <v>#REF!</v>
      </c>
      <c r="FT48" s="34" t="e">
        <f>AND(#REF!,"AAAAAF/z268=")</f>
        <v>#REF!</v>
      </c>
      <c r="FU48" s="34" t="e">
        <f>AND(#REF!,"AAAAAF/z27A=")</f>
        <v>#REF!</v>
      </c>
      <c r="FV48" s="34" t="e">
        <f>AND(#REF!,"AAAAAF/z27E=")</f>
        <v>#REF!</v>
      </c>
      <c r="FW48" s="34" t="e">
        <f>AND(#REF!,"AAAAAF/z27I=")</f>
        <v>#REF!</v>
      </c>
      <c r="FX48" s="34" t="e">
        <f>AND(#REF!,"AAAAAF/z27M=")</f>
        <v>#REF!</v>
      </c>
      <c r="FY48" s="34" t="e">
        <f>AND(#REF!,"AAAAAF/z27Q=")</f>
        <v>#REF!</v>
      </c>
      <c r="FZ48" s="34" t="e">
        <f>AND(#REF!,"AAAAAF/z27U=")</f>
        <v>#REF!</v>
      </c>
      <c r="GA48" s="34" t="e">
        <f>AND(#REF!,"AAAAAF/z27Y=")</f>
        <v>#REF!</v>
      </c>
      <c r="GB48" s="34" t="e">
        <f>AND(#REF!,"AAAAAF/z27c=")</f>
        <v>#REF!</v>
      </c>
      <c r="GC48" s="34" t="e">
        <f>IF(#REF!,"AAAAAF/z27g=",0)</f>
        <v>#REF!</v>
      </c>
      <c r="GD48" s="34" t="e">
        <f>AND(#REF!,"AAAAAF/z27k=")</f>
        <v>#REF!</v>
      </c>
      <c r="GE48" s="34" t="e">
        <f>AND(#REF!,"AAAAAF/z27o=")</f>
        <v>#REF!</v>
      </c>
      <c r="GF48" s="34" t="e">
        <f>AND(#REF!,"AAAAAF/z27s=")</f>
        <v>#REF!</v>
      </c>
      <c r="GG48" s="34" t="e">
        <f>AND(#REF!,"AAAAAF/z27w=")</f>
        <v>#REF!</v>
      </c>
      <c r="GH48" s="34" t="e">
        <f>AND(#REF!,"AAAAAF/z270=")</f>
        <v>#REF!</v>
      </c>
      <c r="GI48" s="34" t="e">
        <f>AND(#REF!,"AAAAAF/z274=")</f>
        <v>#REF!</v>
      </c>
      <c r="GJ48" s="34" t="e">
        <f>AND(#REF!,"AAAAAF/z278=")</f>
        <v>#REF!</v>
      </c>
      <c r="GK48" s="34" t="e">
        <f>AND(#REF!,"AAAAAF/z28A=")</f>
        <v>#REF!</v>
      </c>
      <c r="GL48" s="34" t="e">
        <f>AND(#REF!,"AAAAAF/z28E=")</f>
        <v>#REF!</v>
      </c>
      <c r="GM48" s="34" t="e">
        <f>AND(#REF!,"AAAAAF/z28I=")</f>
        <v>#REF!</v>
      </c>
      <c r="GN48" s="34" t="e">
        <f>AND(#REF!,"AAAAAF/z28M=")</f>
        <v>#REF!</v>
      </c>
      <c r="GO48" s="34" t="e">
        <f>AND(#REF!,"AAAAAF/z28Q=")</f>
        <v>#REF!</v>
      </c>
      <c r="GP48" s="34" t="e">
        <f>AND(#REF!,"AAAAAF/z28U=")</f>
        <v>#REF!</v>
      </c>
      <c r="GQ48" s="34" t="e">
        <f>AND(#REF!,"AAAAAF/z28Y=")</f>
        <v>#REF!</v>
      </c>
      <c r="GR48" s="34" t="e">
        <f>AND(#REF!,"AAAAAF/z28c=")</f>
        <v>#REF!</v>
      </c>
      <c r="GS48" s="34" t="e">
        <f>AND(#REF!,"AAAAAF/z28g=")</f>
        <v>#REF!</v>
      </c>
      <c r="GT48" s="34" t="e">
        <f>AND(#REF!,"AAAAAF/z28k=")</f>
        <v>#REF!</v>
      </c>
      <c r="GU48" s="34" t="e">
        <f>AND(#REF!,"AAAAAF/z28o=")</f>
        <v>#REF!</v>
      </c>
      <c r="GV48" s="34" t="e">
        <f>AND(#REF!,"AAAAAF/z28s=")</f>
        <v>#REF!</v>
      </c>
      <c r="GW48" s="34" t="e">
        <f>AND(#REF!,"AAAAAF/z28w=")</f>
        <v>#REF!</v>
      </c>
      <c r="GX48" s="34" t="e">
        <f>AND(#REF!,"AAAAAF/z280=")</f>
        <v>#REF!</v>
      </c>
      <c r="GY48" s="34" t="e">
        <f>AND(#REF!,"AAAAAF/z284=")</f>
        <v>#REF!</v>
      </c>
      <c r="GZ48" s="34" t="e">
        <f>AND(#REF!,"AAAAAF/z288=")</f>
        <v>#REF!</v>
      </c>
      <c r="HA48" s="34" t="e">
        <f>AND(#REF!,"AAAAAF/z29A=")</f>
        <v>#REF!</v>
      </c>
      <c r="HB48" s="34" t="e">
        <f>AND(#REF!,"AAAAAF/z29E=")</f>
        <v>#REF!</v>
      </c>
      <c r="HC48" s="34" t="e">
        <f>AND(#REF!,"AAAAAF/z29I=")</f>
        <v>#REF!</v>
      </c>
      <c r="HD48" s="34" t="e">
        <f>AND(#REF!,"AAAAAF/z29M=")</f>
        <v>#REF!</v>
      </c>
      <c r="HE48" s="34" t="e">
        <f>AND(#REF!,"AAAAAF/z29Q=")</f>
        <v>#REF!</v>
      </c>
      <c r="HF48" s="34" t="e">
        <f>AND(#REF!,"AAAAAF/z29U=")</f>
        <v>#REF!</v>
      </c>
      <c r="HG48" s="34" t="e">
        <f>AND(#REF!,"AAAAAF/z29Y=")</f>
        <v>#REF!</v>
      </c>
      <c r="HH48" s="34" t="e">
        <f>AND(#REF!,"AAAAAF/z29c=")</f>
        <v>#REF!</v>
      </c>
      <c r="HI48" s="34" t="e">
        <f>AND(#REF!,"AAAAAF/z29g=")</f>
        <v>#REF!</v>
      </c>
      <c r="HJ48" s="34" t="e">
        <f>AND(#REF!,"AAAAAF/z29k=")</f>
        <v>#REF!</v>
      </c>
      <c r="HK48" s="34" t="e">
        <f>AND(#REF!,"AAAAAF/z29o=")</f>
        <v>#REF!</v>
      </c>
      <c r="HL48" s="34" t="e">
        <f>AND(#REF!,"AAAAAF/z29s=")</f>
        <v>#REF!</v>
      </c>
      <c r="HM48" s="34" t="e">
        <f>AND(#REF!,"AAAAAF/z29w=")</f>
        <v>#REF!</v>
      </c>
      <c r="HN48" s="34" t="e">
        <f>AND(#REF!,"AAAAAF/z290=")</f>
        <v>#REF!</v>
      </c>
      <c r="HO48" s="34" t="e">
        <f>AND(#REF!,"AAAAAF/z294=")</f>
        <v>#REF!</v>
      </c>
      <c r="HP48" s="34" t="e">
        <f>AND(#REF!,"AAAAAF/z298=")</f>
        <v>#REF!</v>
      </c>
      <c r="HQ48" s="34" t="e">
        <f>AND(#REF!,"AAAAAF/z2+A=")</f>
        <v>#REF!</v>
      </c>
      <c r="HR48" s="34" t="e">
        <f>AND(#REF!,"AAAAAF/z2+E=")</f>
        <v>#REF!</v>
      </c>
      <c r="HS48" s="34" t="e">
        <f>AND(#REF!,"AAAAAF/z2+I=")</f>
        <v>#REF!</v>
      </c>
      <c r="HT48" s="34" t="e">
        <f>AND(#REF!,"AAAAAF/z2+M=")</f>
        <v>#REF!</v>
      </c>
      <c r="HU48" s="34" t="e">
        <f>AND(#REF!,"AAAAAF/z2+Q=")</f>
        <v>#REF!</v>
      </c>
      <c r="HV48" s="34" t="e">
        <f>AND(#REF!,"AAAAAF/z2+U=")</f>
        <v>#REF!</v>
      </c>
      <c r="HW48" s="34" t="e">
        <f>AND(#REF!,"AAAAAF/z2+Y=")</f>
        <v>#REF!</v>
      </c>
      <c r="HX48" s="34" t="e">
        <f>AND(#REF!,"AAAAAF/z2+c=")</f>
        <v>#REF!</v>
      </c>
      <c r="HY48" s="34" t="e">
        <f>AND(#REF!,"AAAAAF/z2+g=")</f>
        <v>#REF!</v>
      </c>
      <c r="HZ48" s="34" t="e">
        <f>AND(#REF!,"AAAAAF/z2+k=")</f>
        <v>#REF!</v>
      </c>
      <c r="IA48" s="34" t="e">
        <f>AND(#REF!,"AAAAAF/z2+o=")</f>
        <v>#REF!</v>
      </c>
      <c r="IB48" s="34" t="e">
        <f>AND(#REF!,"AAAAAF/z2+s=")</f>
        <v>#REF!</v>
      </c>
      <c r="IC48" s="34" t="e">
        <f>AND(#REF!,"AAAAAF/z2+w=")</f>
        <v>#REF!</v>
      </c>
      <c r="ID48" s="34" t="e">
        <f>AND(#REF!,"AAAAAF/z2+0=")</f>
        <v>#REF!</v>
      </c>
      <c r="IE48" s="34" t="e">
        <f>AND(#REF!,"AAAAAF/z2+4=")</f>
        <v>#REF!</v>
      </c>
      <c r="IF48" s="34" t="e">
        <f>AND(#REF!,"AAAAAF/z2+8=")</f>
        <v>#REF!</v>
      </c>
      <c r="IG48" s="34" t="e">
        <f>AND(#REF!,"AAAAAF/z2/A=")</f>
        <v>#REF!</v>
      </c>
      <c r="IH48" s="34" t="e">
        <f>AND(#REF!,"AAAAAF/z2/E=")</f>
        <v>#REF!</v>
      </c>
      <c r="II48" s="34" t="e">
        <f>AND(#REF!,"AAAAAF/z2/I=")</f>
        <v>#REF!</v>
      </c>
      <c r="IJ48" s="34" t="e">
        <f>AND(#REF!,"AAAAAF/z2/M=")</f>
        <v>#REF!</v>
      </c>
      <c r="IK48" s="34" t="e">
        <f>AND(#REF!,"AAAAAF/z2/Q=")</f>
        <v>#REF!</v>
      </c>
      <c r="IL48" s="34" t="e">
        <f>AND(#REF!,"AAAAAF/z2/U=")</f>
        <v>#REF!</v>
      </c>
      <c r="IM48" s="34" t="e">
        <f>AND(#REF!,"AAAAAF/z2/Y=")</f>
        <v>#REF!</v>
      </c>
      <c r="IN48" s="34" t="e">
        <f>AND(#REF!,"AAAAAF/z2/c=")</f>
        <v>#REF!</v>
      </c>
      <c r="IO48" s="34" t="e">
        <f>AND(#REF!,"AAAAAF/z2/g=")</f>
        <v>#REF!</v>
      </c>
      <c r="IP48" s="34" t="e">
        <f>AND(#REF!,"AAAAAF/z2/k=")</f>
        <v>#REF!</v>
      </c>
      <c r="IQ48" s="34" t="e">
        <f>AND(#REF!,"AAAAAF/z2/o=")</f>
        <v>#REF!</v>
      </c>
      <c r="IR48" s="34" t="e">
        <f>AND(#REF!,"AAAAAF/z2/s=")</f>
        <v>#REF!</v>
      </c>
      <c r="IS48" s="34" t="e">
        <f>AND(#REF!,"AAAAAF/z2/w=")</f>
        <v>#REF!</v>
      </c>
      <c r="IT48" s="34" t="e">
        <f>AND(#REF!,"AAAAAF/z2/0=")</f>
        <v>#REF!</v>
      </c>
      <c r="IU48" s="34" t="e">
        <f>AND(#REF!,"AAAAAF/z2/4=")</f>
        <v>#REF!</v>
      </c>
      <c r="IV48" s="34" t="e">
        <f>AND(#REF!,"AAAAAF/z2/8=")</f>
        <v>#REF!</v>
      </c>
    </row>
    <row r="49" spans="1:256" ht="12.75" customHeight="1" x14ac:dyDescent="0.2">
      <c r="A49" s="34" t="e">
        <f>AND(#REF!,"AAAAAH/+3gA=")</f>
        <v>#REF!</v>
      </c>
      <c r="B49" s="34" t="e">
        <f>IF(#REF!,"AAAAAH/+3gE=",0)</f>
        <v>#REF!</v>
      </c>
      <c r="C49" s="34" t="e">
        <f>AND(#REF!,"AAAAAH/+3gI=")</f>
        <v>#REF!</v>
      </c>
      <c r="D49" s="34" t="e">
        <f>AND(#REF!,"AAAAAH/+3gM=")</f>
        <v>#REF!</v>
      </c>
      <c r="E49" s="34" t="e">
        <f>AND(#REF!,"AAAAAH/+3gQ=")</f>
        <v>#REF!</v>
      </c>
      <c r="F49" s="34" t="e">
        <f>AND(#REF!,"AAAAAH/+3gU=")</f>
        <v>#REF!</v>
      </c>
      <c r="G49" s="34" t="e">
        <f>AND(#REF!,"AAAAAH/+3gY=")</f>
        <v>#REF!</v>
      </c>
      <c r="H49" s="34" t="e">
        <f>AND(#REF!,"AAAAAH/+3gc=")</f>
        <v>#REF!</v>
      </c>
      <c r="I49" s="34" t="e">
        <f>AND(#REF!,"AAAAAH/+3gg=")</f>
        <v>#REF!</v>
      </c>
      <c r="J49" s="34" t="e">
        <f>AND(#REF!,"AAAAAH/+3gk=")</f>
        <v>#REF!</v>
      </c>
      <c r="K49" s="34" t="e">
        <f>AND(#REF!,"AAAAAH/+3go=")</f>
        <v>#REF!</v>
      </c>
      <c r="L49" s="34" t="e">
        <f>AND(#REF!,"AAAAAH/+3gs=")</f>
        <v>#REF!</v>
      </c>
      <c r="M49" s="34" t="e">
        <f>AND(#REF!,"AAAAAH/+3gw=")</f>
        <v>#REF!</v>
      </c>
      <c r="N49" s="34" t="e">
        <f>AND(#REF!,"AAAAAH/+3g0=")</f>
        <v>#REF!</v>
      </c>
      <c r="O49" s="34" t="e">
        <f>AND(#REF!,"AAAAAH/+3g4=")</f>
        <v>#REF!</v>
      </c>
      <c r="P49" s="34" t="e">
        <f>AND(#REF!,"AAAAAH/+3g8=")</f>
        <v>#REF!</v>
      </c>
      <c r="Q49" s="34" t="e">
        <f>AND(#REF!,"AAAAAH/+3hA=")</f>
        <v>#REF!</v>
      </c>
      <c r="R49" s="34" t="e">
        <f>AND(#REF!,"AAAAAH/+3hE=")</f>
        <v>#REF!</v>
      </c>
      <c r="S49" s="34" t="e">
        <f>AND(#REF!,"AAAAAH/+3hI=")</f>
        <v>#REF!</v>
      </c>
      <c r="T49" s="34" t="e">
        <f>AND(#REF!,"AAAAAH/+3hM=")</f>
        <v>#REF!</v>
      </c>
      <c r="U49" s="34" t="e">
        <f>AND(#REF!,"AAAAAH/+3hQ=")</f>
        <v>#REF!</v>
      </c>
      <c r="V49" s="34" t="e">
        <f>AND(#REF!,"AAAAAH/+3hU=")</f>
        <v>#REF!</v>
      </c>
      <c r="W49" s="34" t="e">
        <f>AND(#REF!,"AAAAAH/+3hY=")</f>
        <v>#REF!</v>
      </c>
      <c r="X49" s="34" t="e">
        <f>AND(#REF!,"AAAAAH/+3hc=")</f>
        <v>#REF!</v>
      </c>
      <c r="Y49" s="34" t="e">
        <f>AND(#REF!,"AAAAAH/+3hg=")</f>
        <v>#REF!</v>
      </c>
      <c r="Z49" s="34" t="e">
        <f>AND(#REF!,"AAAAAH/+3hk=")</f>
        <v>#REF!</v>
      </c>
      <c r="AA49" s="34" t="e">
        <f>AND(#REF!,"AAAAAH/+3ho=")</f>
        <v>#REF!</v>
      </c>
      <c r="AB49" s="34" t="e">
        <f>AND(#REF!,"AAAAAH/+3hs=")</f>
        <v>#REF!</v>
      </c>
      <c r="AC49" s="34" t="e">
        <f>AND(#REF!,"AAAAAH/+3hw=")</f>
        <v>#REF!</v>
      </c>
      <c r="AD49" s="34" t="e">
        <f>AND(#REF!,"AAAAAH/+3h0=")</f>
        <v>#REF!</v>
      </c>
      <c r="AE49" s="34" t="e">
        <f>AND(#REF!,"AAAAAH/+3h4=")</f>
        <v>#REF!</v>
      </c>
      <c r="AF49" s="34" t="e">
        <f>AND(#REF!,"AAAAAH/+3h8=")</f>
        <v>#REF!</v>
      </c>
      <c r="AG49" s="34" t="e">
        <f>AND(#REF!,"AAAAAH/+3iA=")</f>
        <v>#REF!</v>
      </c>
      <c r="AH49" s="34" t="e">
        <f>AND(#REF!,"AAAAAH/+3iE=")</f>
        <v>#REF!</v>
      </c>
      <c r="AI49" s="34" t="e">
        <f>AND(#REF!,"AAAAAH/+3iI=")</f>
        <v>#REF!</v>
      </c>
      <c r="AJ49" s="34" t="e">
        <f>AND(#REF!,"AAAAAH/+3iM=")</f>
        <v>#REF!</v>
      </c>
      <c r="AK49" s="34" t="e">
        <f>AND(#REF!,"AAAAAH/+3iQ=")</f>
        <v>#REF!</v>
      </c>
      <c r="AL49" s="34" t="e">
        <f>AND(#REF!,"AAAAAH/+3iU=")</f>
        <v>#REF!</v>
      </c>
      <c r="AM49" s="34" t="e">
        <f>AND(#REF!,"AAAAAH/+3iY=")</f>
        <v>#REF!</v>
      </c>
      <c r="AN49" s="34" t="e">
        <f>AND(#REF!,"AAAAAH/+3ic=")</f>
        <v>#REF!</v>
      </c>
      <c r="AO49" s="34" t="e">
        <f>AND(#REF!,"AAAAAH/+3ig=")</f>
        <v>#REF!</v>
      </c>
      <c r="AP49" s="34" t="e">
        <f>AND(#REF!,"AAAAAH/+3ik=")</f>
        <v>#REF!</v>
      </c>
      <c r="AQ49" s="34" t="e">
        <f>AND(#REF!,"AAAAAH/+3io=")</f>
        <v>#REF!</v>
      </c>
      <c r="AR49" s="34" t="e">
        <f>AND(#REF!,"AAAAAH/+3is=")</f>
        <v>#REF!</v>
      </c>
      <c r="AS49" s="34" t="e">
        <f>AND(#REF!,"AAAAAH/+3iw=")</f>
        <v>#REF!</v>
      </c>
      <c r="AT49" s="34" t="e">
        <f>AND(#REF!,"AAAAAH/+3i0=")</f>
        <v>#REF!</v>
      </c>
      <c r="AU49" s="34" t="e">
        <f>AND(#REF!,"AAAAAH/+3i4=")</f>
        <v>#REF!</v>
      </c>
      <c r="AV49" s="34" t="e">
        <f>AND(#REF!,"AAAAAH/+3i8=")</f>
        <v>#REF!</v>
      </c>
      <c r="AW49" s="34" t="e">
        <f>AND(#REF!,"AAAAAH/+3jA=")</f>
        <v>#REF!</v>
      </c>
      <c r="AX49" s="34" t="e">
        <f>AND(#REF!,"AAAAAH/+3jE=")</f>
        <v>#REF!</v>
      </c>
      <c r="AY49" s="34" t="e">
        <f>AND(#REF!,"AAAAAH/+3jI=")</f>
        <v>#REF!</v>
      </c>
      <c r="AZ49" s="34" t="e">
        <f>AND(#REF!,"AAAAAH/+3jM=")</f>
        <v>#REF!</v>
      </c>
      <c r="BA49" s="34" t="e">
        <f>AND(#REF!,"AAAAAH/+3jQ=")</f>
        <v>#REF!</v>
      </c>
      <c r="BB49" s="34" t="e">
        <f>AND(#REF!,"AAAAAH/+3jU=")</f>
        <v>#REF!</v>
      </c>
      <c r="BC49" s="34" t="e">
        <f>AND(#REF!,"AAAAAH/+3jY=")</f>
        <v>#REF!</v>
      </c>
      <c r="BD49" s="34" t="e">
        <f>AND(#REF!,"AAAAAH/+3jc=")</f>
        <v>#REF!</v>
      </c>
      <c r="BE49" s="34" t="e">
        <f>AND(#REF!,"AAAAAH/+3jg=")</f>
        <v>#REF!</v>
      </c>
      <c r="BF49" s="34" t="e">
        <f>AND(#REF!,"AAAAAH/+3jk=")</f>
        <v>#REF!</v>
      </c>
      <c r="BG49" s="34" t="e">
        <f>AND(#REF!,"AAAAAH/+3jo=")</f>
        <v>#REF!</v>
      </c>
      <c r="BH49" s="34" t="e">
        <f>AND(#REF!,"AAAAAH/+3js=")</f>
        <v>#REF!</v>
      </c>
      <c r="BI49" s="34" t="e">
        <f>AND(#REF!,"AAAAAH/+3jw=")</f>
        <v>#REF!</v>
      </c>
      <c r="BJ49" s="34" t="e">
        <f>AND(#REF!,"AAAAAH/+3j0=")</f>
        <v>#REF!</v>
      </c>
      <c r="BK49" s="34" t="e">
        <f>AND(#REF!,"AAAAAH/+3j4=")</f>
        <v>#REF!</v>
      </c>
      <c r="BL49" s="34" t="e">
        <f>AND(#REF!,"AAAAAH/+3j8=")</f>
        <v>#REF!</v>
      </c>
      <c r="BM49" s="34" t="e">
        <f>AND(#REF!,"AAAAAH/+3kA=")</f>
        <v>#REF!</v>
      </c>
      <c r="BN49" s="34" t="e">
        <f>AND(#REF!,"AAAAAH/+3kE=")</f>
        <v>#REF!</v>
      </c>
      <c r="BO49" s="34" t="e">
        <f>AND(#REF!,"AAAAAH/+3kI=")</f>
        <v>#REF!</v>
      </c>
      <c r="BP49" s="34" t="e">
        <f>AND(#REF!,"AAAAAH/+3kM=")</f>
        <v>#REF!</v>
      </c>
      <c r="BQ49" s="34" t="e">
        <f>AND(#REF!,"AAAAAH/+3kQ=")</f>
        <v>#REF!</v>
      </c>
      <c r="BR49" s="34" t="e">
        <f>AND(#REF!,"AAAAAH/+3kU=")</f>
        <v>#REF!</v>
      </c>
      <c r="BS49" s="34" t="e">
        <f>AND(#REF!,"AAAAAH/+3kY=")</f>
        <v>#REF!</v>
      </c>
      <c r="BT49" s="34" t="e">
        <f>AND(#REF!,"AAAAAH/+3kc=")</f>
        <v>#REF!</v>
      </c>
      <c r="BU49" s="34" t="e">
        <f>AND(#REF!,"AAAAAH/+3kg=")</f>
        <v>#REF!</v>
      </c>
      <c r="BV49" s="34" t="e">
        <f>AND(#REF!,"AAAAAH/+3kk=")</f>
        <v>#REF!</v>
      </c>
      <c r="BW49" s="34" t="e">
        <f>IF(#REF!,"AAAAAH/+3ko=",0)</f>
        <v>#REF!</v>
      </c>
      <c r="BX49" s="34" t="e">
        <f>AND(#REF!,"AAAAAH/+3ks=")</f>
        <v>#REF!</v>
      </c>
      <c r="BY49" s="34" t="e">
        <f>AND(#REF!,"AAAAAH/+3kw=")</f>
        <v>#REF!</v>
      </c>
      <c r="BZ49" s="34" t="e">
        <f>AND(#REF!,"AAAAAH/+3k0=")</f>
        <v>#REF!</v>
      </c>
      <c r="CA49" s="34" t="e">
        <f>AND(#REF!,"AAAAAH/+3k4=")</f>
        <v>#REF!</v>
      </c>
      <c r="CB49" s="34" t="e">
        <f>AND(#REF!,"AAAAAH/+3k8=")</f>
        <v>#REF!</v>
      </c>
      <c r="CC49" s="34" t="e">
        <f>AND(#REF!,"AAAAAH/+3lA=")</f>
        <v>#REF!</v>
      </c>
      <c r="CD49" s="34" t="e">
        <f>AND(#REF!,"AAAAAH/+3lE=")</f>
        <v>#REF!</v>
      </c>
      <c r="CE49" s="34" t="e">
        <f>AND(#REF!,"AAAAAH/+3lI=")</f>
        <v>#REF!</v>
      </c>
      <c r="CF49" s="34" t="e">
        <f>AND(#REF!,"AAAAAH/+3lM=")</f>
        <v>#REF!</v>
      </c>
      <c r="CG49" s="34" t="e">
        <f>AND(#REF!,"AAAAAH/+3lQ=")</f>
        <v>#REF!</v>
      </c>
      <c r="CH49" s="34" t="e">
        <f>AND(#REF!,"AAAAAH/+3lU=")</f>
        <v>#REF!</v>
      </c>
      <c r="CI49" s="34" t="e">
        <f>AND(#REF!,"AAAAAH/+3lY=")</f>
        <v>#REF!</v>
      </c>
      <c r="CJ49" s="34" t="e">
        <f>AND(#REF!,"AAAAAH/+3lc=")</f>
        <v>#REF!</v>
      </c>
      <c r="CK49" s="34" t="e">
        <f>AND(#REF!,"AAAAAH/+3lg=")</f>
        <v>#REF!</v>
      </c>
      <c r="CL49" s="34" t="e">
        <f>AND(#REF!,"AAAAAH/+3lk=")</f>
        <v>#REF!</v>
      </c>
      <c r="CM49" s="34" t="e">
        <f>AND(#REF!,"AAAAAH/+3lo=")</f>
        <v>#REF!</v>
      </c>
      <c r="CN49" s="34" t="e">
        <f>AND(#REF!,"AAAAAH/+3ls=")</f>
        <v>#REF!</v>
      </c>
      <c r="CO49" s="34" t="e">
        <f>AND(#REF!,"AAAAAH/+3lw=")</f>
        <v>#REF!</v>
      </c>
      <c r="CP49" s="34" t="e">
        <f>AND(#REF!,"AAAAAH/+3l0=")</f>
        <v>#REF!</v>
      </c>
      <c r="CQ49" s="34" t="e">
        <f>AND(#REF!,"AAAAAH/+3l4=")</f>
        <v>#REF!</v>
      </c>
      <c r="CR49" s="34" t="e">
        <f>AND(#REF!,"AAAAAH/+3l8=")</f>
        <v>#REF!</v>
      </c>
      <c r="CS49" s="34" t="e">
        <f>AND(#REF!,"AAAAAH/+3mA=")</f>
        <v>#REF!</v>
      </c>
      <c r="CT49" s="34" t="e">
        <f>AND(#REF!,"AAAAAH/+3mE=")</f>
        <v>#REF!</v>
      </c>
      <c r="CU49" s="34" t="e">
        <f>AND(#REF!,"AAAAAH/+3mI=")</f>
        <v>#REF!</v>
      </c>
      <c r="CV49" s="34" t="e">
        <f>AND(#REF!,"AAAAAH/+3mM=")</f>
        <v>#REF!</v>
      </c>
      <c r="CW49" s="34" t="e">
        <f>AND(#REF!,"AAAAAH/+3mQ=")</f>
        <v>#REF!</v>
      </c>
      <c r="CX49" s="34" t="e">
        <f>AND(#REF!,"AAAAAH/+3mU=")</f>
        <v>#REF!</v>
      </c>
      <c r="CY49" s="34" t="e">
        <f>AND(#REF!,"AAAAAH/+3mY=")</f>
        <v>#REF!</v>
      </c>
      <c r="CZ49" s="34" t="e">
        <f>AND(#REF!,"AAAAAH/+3mc=")</f>
        <v>#REF!</v>
      </c>
      <c r="DA49" s="34" t="e">
        <f>AND(#REF!,"AAAAAH/+3mg=")</f>
        <v>#REF!</v>
      </c>
      <c r="DB49" s="34" t="e">
        <f>AND(#REF!,"AAAAAH/+3mk=")</f>
        <v>#REF!</v>
      </c>
      <c r="DC49" s="34" t="e">
        <f>AND(#REF!,"AAAAAH/+3mo=")</f>
        <v>#REF!</v>
      </c>
      <c r="DD49" s="34" t="e">
        <f>AND(#REF!,"AAAAAH/+3ms=")</f>
        <v>#REF!</v>
      </c>
      <c r="DE49" s="34" t="e">
        <f>AND(#REF!,"AAAAAH/+3mw=")</f>
        <v>#REF!</v>
      </c>
      <c r="DF49" s="34" t="e">
        <f>AND(#REF!,"AAAAAH/+3m0=")</f>
        <v>#REF!</v>
      </c>
      <c r="DG49" s="34" t="e">
        <f>AND(#REF!,"AAAAAH/+3m4=")</f>
        <v>#REF!</v>
      </c>
      <c r="DH49" s="34" t="e">
        <f>AND(#REF!,"AAAAAH/+3m8=")</f>
        <v>#REF!</v>
      </c>
      <c r="DI49" s="34" t="e">
        <f>AND(#REF!,"AAAAAH/+3nA=")</f>
        <v>#REF!</v>
      </c>
      <c r="DJ49" s="34" t="e">
        <f>AND(#REF!,"AAAAAH/+3nE=")</f>
        <v>#REF!</v>
      </c>
      <c r="DK49" s="34" t="e">
        <f>AND(#REF!,"AAAAAH/+3nI=")</f>
        <v>#REF!</v>
      </c>
      <c r="DL49" s="34" t="e">
        <f>AND(#REF!,"AAAAAH/+3nM=")</f>
        <v>#REF!</v>
      </c>
      <c r="DM49" s="34" t="e">
        <f>AND(#REF!,"AAAAAH/+3nQ=")</f>
        <v>#REF!</v>
      </c>
      <c r="DN49" s="34" t="e">
        <f>AND(#REF!,"AAAAAH/+3nU=")</f>
        <v>#REF!</v>
      </c>
      <c r="DO49" s="34" t="e">
        <f>AND(#REF!,"AAAAAH/+3nY=")</f>
        <v>#REF!</v>
      </c>
      <c r="DP49" s="34" t="e">
        <f>AND(#REF!,"AAAAAH/+3nc=")</f>
        <v>#REF!</v>
      </c>
      <c r="DQ49" s="34" t="e">
        <f>AND(#REF!,"AAAAAH/+3ng=")</f>
        <v>#REF!</v>
      </c>
      <c r="DR49" s="34" t="e">
        <f>AND(#REF!,"AAAAAH/+3nk=")</f>
        <v>#REF!</v>
      </c>
      <c r="DS49" s="34" t="e">
        <f>AND(#REF!,"AAAAAH/+3no=")</f>
        <v>#REF!</v>
      </c>
      <c r="DT49" s="34" t="e">
        <f>AND(#REF!,"AAAAAH/+3ns=")</f>
        <v>#REF!</v>
      </c>
      <c r="DU49" s="34" t="e">
        <f>AND(#REF!,"AAAAAH/+3nw=")</f>
        <v>#REF!</v>
      </c>
      <c r="DV49" s="34" t="e">
        <f>AND(#REF!,"AAAAAH/+3n0=")</f>
        <v>#REF!</v>
      </c>
      <c r="DW49" s="34" t="e">
        <f>AND(#REF!,"AAAAAH/+3n4=")</f>
        <v>#REF!</v>
      </c>
      <c r="DX49" s="34" t="e">
        <f>AND(#REF!,"AAAAAH/+3n8=")</f>
        <v>#REF!</v>
      </c>
      <c r="DY49" s="34" t="e">
        <f>AND(#REF!,"AAAAAH/+3oA=")</f>
        <v>#REF!</v>
      </c>
      <c r="DZ49" s="34" t="e">
        <f>AND(#REF!,"AAAAAH/+3oE=")</f>
        <v>#REF!</v>
      </c>
      <c r="EA49" s="34" t="e">
        <f>AND(#REF!,"AAAAAH/+3oI=")</f>
        <v>#REF!</v>
      </c>
      <c r="EB49" s="34" t="e">
        <f>AND(#REF!,"AAAAAH/+3oM=")</f>
        <v>#REF!</v>
      </c>
      <c r="EC49" s="34" t="e">
        <f>AND(#REF!,"AAAAAH/+3oQ=")</f>
        <v>#REF!</v>
      </c>
      <c r="ED49" s="34" t="e">
        <f>AND(#REF!,"AAAAAH/+3oU=")</f>
        <v>#REF!</v>
      </c>
      <c r="EE49" s="34" t="e">
        <f>AND(#REF!,"AAAAAH/+3oY=")</f>
        <v>#REF!</v>
      </c>
      <c r="EF49" s="34" t="e">
        <f>AND(#REF!,"AAAAAH/+3oc=")</f>
        <v>#REF!</v>
      </c>
      <c r="EG49" s="34" t="e">
        <f>AND(#REF!,"AAAAAH/+3og=")</f>
        <v>#REF!</v>
      </c>
      <c r="EH49" s="34" t="e">
        <f>AND(#REF!,"AAAAAH/+3ok=")</f>
        <v>#REF!</v>
      </c>
      <c r="EI49" s="34" t="e">
        <f>AND(#REF!,"AAAAAH/+3oo=")</f>
        <v>#REF!</v>
      </c>
      <c r="EJ49" s="34" t="e">
        <f>AND(#REF!,"AAAAAH/+3os=")</f>
        <v>#REF!</v>
      </c>
      <c r="EK49" s="34" t="e">
        <f>AND(#REF!,"AAAAAH/+3ow=")</f>
        <v>#REF!</v>
      </c>
      <c r="EL49" s="34" t="e">
        <f>AND(#REF!,"AAAAAH/+3o0=")</f>
        <v>#REF!</v>
      </c>
      <c r="EM49" s="34" t="e">
        <f>AND(#REF!,"AAAAAH/+3o4=")</f>
        <v>#REF!</v>
      </c>
      <c r="EN49" s="34" t="e">
        <f>AND(#REF!,"AAAAAH/+3o8=")</f>
        <v>#REF!</v>
      </c>
      <c r="EO49" s="34" t="e">
        <f>AND(#REF!,"AAAAAH/+3pA=")</f>
        <v>#REF!</v>
      </c>
      <c r="EP49" s="34" t="e">
        <f>AND(#REF!,"AAAAAH/+3pE=")</f>
        <v>#REF!</v>
      </c>
      <c r="EQ49" s="34" t="e">
        <f>AND(#REF!,"AAAAAH/+3pI=")</f>
        <v>#REF!</v>
      </c>
      <c r="ER49" s="34" t="e">
        <f>IF(#REF!,"AAAAAH/+3pM=",0)</f>
        <v>#REF!</v>
      </c>
      <c r="ES49" s="34" t="e">
        <f>AND(#REF!,"AAAAAH/+3pQ=")</f>
        <v>#REF!</v>
      </c>
      <c r="ET49" s="34" t="e">
        <f>AND(#REF!,"AAAAAH/+3pU=")</f>
        <v>#REF!</v>
      </c>
      <c r="EU49" s="34" t="e">
        <f>AND(#REF!,"AAAAAH/+3pY=")</f>
        <v>#REF!</v>
      </c>
      <c r="EV49" s="34" t="e">
        <f>AND(#REF!,"AAAAAH/+3pc=")</f>
        <v>#REF!</v>
      </c>
      <c r="EW49" s="34" t="e">
        <f>AND(#REF!,"AAAAAH/+3pg=")</f>
        <v>#REF!</v>
      </c>
      <c r="EX49" s="34" t="e">
        <f>AND(#REF!,"AAAAAH/+3pk=")</f>
        <v>#REF!</v>
      </c>
      <c r="EY49" s="34" t="e">
        <f>AND(#REF!,"AAAAAH/+3po=")</f>
        <v>#REF!</v>
      </c>
      <c r="EZ49" s="34" t="e">
        <f>AND(#REF!,"AAAAAH/+3ps=")</f>
        <v>#REF!</v>
      </c>
      <c r="FA49" s="34" t="e">
        <f>AND(#REF!,"AAAAAH/+3pw=")</f>
        <v>#REF!</v>
      </c>
      <c r="FB49" s="34" t="e">
        <f>AND(#REF!,"AAAAAH/+3p0=")</f>
        <v>#REF!</v>
      </c>
      <c r="FC49" s="34" t="e">
        <f>AND(#REF!,"AAAAAH/+3p4=")</f>
        <v>#REF!</v>
      </c>
      <c r="FD49" s="34" t="e">
        <f>AND(#REF!,"AAAAAH/+3p8=")</f>
        <v>#REF!</v>
      </c>
      <c r="FE49" s="34" t="e">
        <f>AND(#REF!,"AAAAAH/+3qA=")</f>
        <v>#REF!</v>
      </c>
      <c r="FF49" s="34" t="e">
        <f>AND(#REF!,"AAAAAH/+3qE=")</f>
        <v>#REF!</v>
      </c>
      <c r="FG49" s="34" t="e">
        <f>AND(#REF!,"AAAAAH/+3qI=")</f>
        <v>#REF!</v>
      </c>
      <c r="FH49" s="34" t="e">
        <f>AND(#REF!,"AAAAAH/+3qM=")</f>
        <v>#REF!</v>
      </c>
      <c r="FI49" s="34" t="e">
        <f>AND(#REF!,"AAAAAH/+3qQ=")</f>
        <v>#REF!</v>
      </c>
      <c r="FJ49" s="34" t="e">
        <f>AND(#REF!,"AAAAAH/+3qU=")</f>
        <v>#REF!</v>
      </c>
      <c r="FK49" s="34" t="e">
        <f>AND(#REF!,"AAAAAH/+3qY=")</f>
        <v>#REF!</v>
      </c>
      <c r="FL49" s="34" t="e">
        <f>AND(#REF!,"AAAAAH/+3qc=")</f>
        <v>#REF!</v>
      </c>
      <c r="FM49" s="34" t="e">
        <f>AND(#REF!,"AAAAAH/+3qg=")</f>
        <v>#REF!</v>
      </c>
      <c r="FN49" s="34" t="e">
        <f>AND(#REF!,"AAAAAH/+3qk=")</f>
        <v>#REF!</v>
      </c>
      <c r="FO49" s="34" t="e">
        <f>AND(#REF!,"AAAAAH/+3qo=")</f>
        <v>#REF!</v>
      </c>
      <c r="FP49" s="34" t="e">
        <f>AND(#REF!,"AAAAAH/+3qs=")</f>
        <v>#REF!</v>
      </c>
      <c r="FQ49" s="34" t="e">
        <f>AND(#REF!,"AAAAAH/+3qw=")</f>
        <v>#REF!</v>
      </c>
      <c r="FR49" s="34" t="e">
        <f>AND(#REF!,"AAAAAH/+3q0=")</f>
        <v>#REF!</v>
      </c>
      <c r="FS49" s="34" t="e">
        <f>AND(#REF!,"AAAAAH/+3q4=")</f>
        <v>#REF!</v>
      </c>
      <c r="FT49" s="34" t="e">
        <f>AND(#REF!,"AAAAAH/+3q8=")</f>
        <v>#REF!</v>
      </c>
      <c r="FU49" s="34" t="e">
        <f>AND(#REF!,"AAAAAH/+3rA=")</f>
        <v>#REF!</v>
      </c>
      <c r="FV49" s="34" t="e">
        <f>AND(#REF!,"AAAAAH/+3rE=")</f>
        <v>#REF!</v>
      </c>
      <c r="FW49" s="34" t="e">
        <f>AND(#REF!,"AAAAAH/+3rI=")</f>
        <v>#REF!</v>
      </c>
      <c r="FX49" s="34" t="e">
        <f>AND(#REF!,"AAAAAH/+3rM=")</f>
        <v>#REF!</v>
      </c>
      <c r="FY49" s="34" t="e">
        <f>AND(#REF!,"AAAAAH/+3rQ=")</f>
        <v>#REF!</v>
      </c>
      <c r="FZ49" s="34" t="e">
        <f>AND(#REF!,"AAAAAH/+3rU=")</f>
        <v>#REF!</v>
      </c>
      <c r="GA49" s="34" t="e">
        <f>AND(#REF!,"AAAAAH/+3rY=")</f>
        <v>#REF!</v>
      </c>
      <c r="GB49" s="34" t="e">
        <f>AND(#REF!,"AAAAAH/+3rc=")</f>
        <v>#REF!</v>
      </c>
      <c r="GC49" s="34" t="e">
        <f>AND(#REF!,"AAAAAH/+3rg=")</f>
        <v>#REF!</v>
      </c>
      <c r="GD49" s="34" t="e">
        <f>AND(#REF!,"AAAAAH/+3rk=")</f>
        <v>#REF!</v>
      </c>
      <c r="GE49" s="34" t="e">
        <f>AND(#REF!,"AAAAAH/+3ro=")</f>
        <v>#REF!</v>
      </c>
      <c r="GF49" s="34" t="e">
        <f>AND(#REF!,"AAAAAH/+3rs=")</f>
        <v>#REF!</v>
      </c>
      <c r="GG49" s="34" t="e">
        <f>AND(#REF!,"AAAAAH/+3rw=")</f>
        <v>#REF!</v>
      </c>
      <c r="GH49" s="34" t="e">
        <f>AND(#REF!,"AAAAAH/+3r0=")</f>
        <v>#REF!</v>
      </c>
      <c r="GI49" s="34" t="e">
        <f>AND(#REF!,"AAAAAH/+3r4=")</f>
        <v>#REF!</v>
      </c>
      <c r="GJ49" s="34" t="e">
        <f>AND(#REF!,"AAAAAH/+3r8=")</f>
        <v>#REF!</v>
      </c>
      <c r="GK49" s="34" t="e">
        <f>AND(#REF!,"AAAAAH/+3sA=")</f>
        <v>#REF!</v>
      </c>
      <c r="GL49" s="34" t="e">
        <f>AND(#REF!,"AAAAAH/+3sE=")</f>
        <v>#REF!</v>
      </c>
      <c r="GM49" s="34" t="e">
        <f>AND(#REF!,"AAAAAH/+3sI=")</f>
        <v>#REF!</v>
      </c>
      <c r="GN49" s="34" t="e">
        <f>AND(#REF!,"AAAAAH/+3sM=")</f>
        <v>#REF!</v>
      </c>
      <c r="GO49" s="34" t="e">
        <f>AND(#REF!,"AAAAAH/+3sQ=")</f>
        <v>#REF!</v>
      </c>
      <c r="GP49" s="34" t="e">
        <f>AND(#REF!,"AAAAAH/+3sU=")</f>
        <v>#REF!</v>
      </c>
      <c r="GQ49" s="34" t="e">
        <f>AND(#REF!,"AAAAAH/+3sY=")</f>
        <v>#REF!</v>
      </c>
      <c r="GR49" s="34" t="e">
        <f>AND(#REF!,"AAAAAH/+3sc=")</f>
        <v>#REF!</v>
      </c>
      <c r="GS49" s="34" t="e">
        <f>AND(#REF!,"AAAAAH/+3sg=")</f>
        <v>#REF!</v>
      </c>
      <c r="GT49" s="34" t="e">
        <f>AND(#REF!,"AAAAAH/+3sk=")</f>
        <v>#REF!</v>
      </c>
      <c r="GU49" s="34" t="e">
        <f>AND(#REF!,"AAAAAH/+3so=")</f>
        <v>#REF!</v>
      </c>
      <c r="GV49" s="34" t="e">
        <f>AND(#REF!,"AAAAAH/+3ss=")</f>
        <v>#REF!</v>
      </c>
      <c r="GW49" s="34" t="e">
        <f>AND(#REF!,"AAAAAH/+3sw=")</f>
        <v>#REF!</v>
      </c>
      <c r="GX49" s="34" t="e">
        <f>AND(#REF!,"AAAAAH/+3s0=")</f>
        <v>#REF!</v>
      </c>
      <c r="GY49" s="34" t="e">
        <f>AND(#REF!,"AAAAAH/+3s4=")</f>
        <v>#REF!</v>
      </c>
      <c r="GZ49" s="34" t="e">
        <f>AND(#REF!,"AAAAAH/+3s8=")</f>
        <v>#REF!</v>
      </c>
      <c r="HA49" s="34" t="e">
        <f>AND(#REF!,"AAAAAH/+3tA=")</f>
        <v>#REF!</v>
      </c>
      <c r="HB49" s="34" t="e">
        <f>AND(#REF!,"AAAAAH/+3tE=")</f>
        <v>#REF!</v>
      </c>
      <c r="HC49" s="34" t="e">
        <f>AND(#REF!,"AAAAAH/+3tI=")</f>
        <v>#REF!</v>
      </c>
      <c r="HD49" s="34" t="e">
        <f>AND(#REF!,"AAAAAH/+3tM=")</f>
        <v>#REF!</v>
      </c>
      <c r="HE49" s="34" t="e">
        <f>AND(#REF!,"AAAAAH/+3tQ=")</f>
        <v>#REF!</v>
      </c>
      <c r="HF49" s="34" t="e">
        <f>AND(#REF!,"AAAAAH/+3tU=")</f>
        <v>#REF!</v>
      </c>
      <c r="HG49" s="34" t="e">
        <f>AND(#REF!,"AAAAAH/+3tY=")</f>
        <v>#REF!</v>
      </c>
      <c r="HH49" s="34" t="e">
        <f>AND(#REF!,"AAAAAH/+3tc=")</f>
        <v>#REF!</v>
      </c>
      <c r="HI49" s="34" t="e">
        <f>AND(#REF!,"AAAAAH/+3tg=")</f>
        <v>#REF!</v>
      </c>
      <c r="HJ49" s="34" t="e">
        <f>AND(#REF!,"AAAAAH/+3tk=")</f>
        <v>#REF!</v>
      </c>
      <c r="HK49" s="34" t="e">
        <f>AND(#REF!,"AAAAAH/+3to=")</f>
        <v>#REF!</v>
      </c>
      <c r="HL49" s="34" t="e">
        <f>AND(#REF!,"AAAAAH/+3ts=")</f>
        <v>#REF!</v>
      </c>
      <c r="HM49" s="34" t="e">
        <f>IF(#REF!,"AAAAAH/+3tw=",0)</f>
        <v>#REF!</v>
      </c>
      <c r="HN49" s="34" t="e">
        <f>AND(#REF!,"AAAAAH/+3t0=")</f>
        <v>#REF!</v>
      </c>
      <c r="HO49" s="34" t="e">
        <f>AND(#REF!,"AAAAAH/+3t4=")</f>
        <v>#REF!</v>
      </c>
      <c r="HP49" s="34" t="e">
        <f>AND(#REF!,"AAAAAH/+3t8=")</f>
        <v>#REF!</v>
      </c>
      <c r="HQ49" s="34" t="e">
        <f>AND(#REF!,"AAAAAH/+3uA=")</f>
        <v>#REF!</v>
      </c>
      <c r="HR49" s="34" t="e">
        <f>AND(#REF!,"AAAAAH/+3uE=")</f>
        <v>#REF!</v>
      </c>
      <c r="HS49" s="34" t="e">
        <f>AND(#REF!,"AAAAAH/+3uI=")</f>
        <v>#REF!</v>
      </c>
      <c r="HT49" s="34" t="e">
        <f>AND(#REF!,"AAAAAH/+3uM=")</f>
        <v>#REF!</v>
      </c>
      <c r="HU49" s="34" t="e">
        <f>AND(#REF!,"AAAAAH/+3uQ=")</f>
        <v>#REF!</v>
      </c>
      <c r="HV49" s="34" t="e">
        <f>AND(#REF!,"AAAAAH/+3uU=")</f>
        <v>#REF!</v>
      </c>
      <c r="HW49" s="34" t="e">
        <f>AND(#REF!,"AAAAAH/+3uY=")</f>
        <v>#REF!</v>
      </c>
      <c r="HX49" s="34" t="e">
        <f>AND(#REF!,"AAAAAH/+3uc=")</f>
        <v>#REF!</v>
      </c>
      <c r="HY49" s="34" t="e">
        <f>AND(#REF!,"AAAAAH/+3ug=")</f>
        <v>#REF!</v>
      </c>
      <c r="HZ49" s="34" t="e">
        <f>AND(#REF!,"AAAAAH/+3uk=")</f>
        <v>#REF!</v>
      </c>
      <c r="IA49" s="34" t="e">
        <f>AND(#REF!,"AAAAAH/+3uo=")</f>
        <v>#REF!</v>
      </c>
      <c r="IB49" s="34" t="e">
        <f>AND(#REF!,"AAAAAH/+3us=")</f>
        <v>#REF!</v>
      </c>
      <c r="IC49" s="34" t="e">
        <f>AND(#REF!,"AAAAAH/+3uw=")</f>
        <v>#REF!</v>
      </c>
      <c r="ID49" s="34" t="e">
        <f>AND(#REF!,"AAAAAH/+3u0=")</f>
        <v>#REF!</v>
      </c>
      <c r="IE49" s="34" t="e">
        <f>AND(#REF!,"AAAAAH/+3u4=")</f>
        <v>#REF!</v>
      </c>
      <c r="IF49" s="34" t="e">
        <f>AND(#REF!,"AAAAAH/+3u8=")</f>
        <v>#REF!</v>
      </c>
      <c r="IG49" s="34" t="e">
        <f>AND(#REF!,"AAAAAH/+3vA=")</f>
        <v>#REF!</v>
      </c>
      <c r="IH49" s="34" t="e">
        <f>AND(#REF!,"AAAAAH/+3vE=")</f>
        <v>#REF!</v>
      </c>
      <c r="II49" s="34" t="e">
        <f>AND(#REF!,"AAAAAH/+3vI=")</f>
        <v>#REF!</v>
      </c>
      <c r="IJ49" s="34" t="e">
        <f>AND(#REF!,"AAAAAH/+3vM=")</f>
        <v>#REF!</v>
      </c>
      <c r="IK49" s="34" t="e">
        <f>AND(#REF!,"AAAAAH/+3vQ=")</f>
        <v>#REF!</v>
      </c>
      <c r="IL49" s="34" t="e">
        <f>AND(#REF!,"AAAAAH/+3vU=")</f>
        <v>#REF!</v>
      </c>
      <c r="IM49" s="34" t="e">
        <f>AND(#REF!,"AAAAAH/+3vY=")</f>
        <v>#REF!</v>
      </c>
      <c r="IN49" s="34" t="e">
        <f>AND(#REF!,"AAAAAH/+3vc=")</f>
        <v>#REF!</v>
      </c>
      <c r="IO49" s="34" t="e">
        <f>AND(#REF!,"AAAAAH/+3vg=")</f>
        <v>#REF!</v>
      </c>
      <c r="IP49" s="34" t="e">
        <f>AND(#REF!,"AAAAAH/+3vk=")</f>
        <v>#REF!</v>
      </c>
      <c r="IQ49" s="34" t="e">
        <f>AND(#REF!,"AAAAAH/+3vo=")</f>
        <v>#REF!</v>
      </c>
      <c r="IR49" s="34" t="e">
        <f>AND(#REF!,"AAAAAH/+3vs=")</f>
        <v>#REF!</v>
      </c>
      <c r="IS49" s="34" t="e">
        <f>AND(#REF!,"AAAAAH/+3vw=")</f>
        <v>#REF!</v>
      </c>
      <c r="IT49" s="34" t="e">
        <f>AND(#REF!,"AAAAAH/+3v0=")</f>
        <v>#REF!</v>
      </c>
      <c r="IU49" s="34" t="e">
        <f>AND(#REF!,"AAAAAH/+3v4=")</f>
        <v>#REF!</v>
      </c>
      <c r="IV49" s="34" t="e">
        <f>AND(#REF!,"AAAAAH/+3v8=")</f>
        <v>#REF!</v>
      </c>
    </row>
    <row r="50" spans="1:256" ht="12.75" customHeight="1" x14ac:dyDescent="0.2">
      <c r="A50" s="34" t="e">
        <f>AND(#REF!,"AAAAAGWrbgA=")</f>
        <v>#REF!</v>
      </c>
      <c r="B50" s="34" t="e">
        <f>AND(#REF!,"AAAAAGWrbgE=")</f>
        <v>#REF!</v>
      </c>
      <c r="C50" s="34" t="e">
        <f>AND(#REF!,"AAAAAGWrbgI=")</f>
        <v>#REF!</v>
      </c>
      <c r="D50" s="34" t="e">
        <f>AND(#REF!,"AAAAAGWrbgM=")</f>
        <v>#REF!</v>
      </c>
      <c r="E50" s="34" t="e">
        <f>AND(#REF!,"AAAAAGWrbgQ=")</f>
        <v>#REF!</v>
      </c>
      <c r="F50" s="34" t="e">
        <f>AND(#REF!,"AAAAAGWrbgU=")</f>
        <v>#REF!</v>
      </c>
      <c r="G50" s="34" t="e">
        <f>AND(#REF!,"AAAAAGWrbgY=")</f>
        <v>#REF!</v>
      </c>
      <c r="H50" s="34" t="e">
        <f>AND(#REF!,"AAAAAGWrbgc=")</f>
        <v>#REF!</v>
      </c>
      <c r="I50" s="34" t="e">
        <f>AND(#REF!,"AAAAAGWrbgg=")</f>
        <v>#REF!</v>
      </c>
      <c r="J50" s="34" t="e">
        <f>AND(#REF!,"AAAAAGWrbgk=")</f>
        <v>#REF!</v>
      </c>
      <c r="K50" s="34" t="e">
        <f>AND(#REF!,"AAAAAGWrbgo=")</f>
        <v>#REF!</v>
      </c>
      <c r="L50" s="34" t="e">
        <f>AND(#REF!,"AAAAAGWrbgs=")</f>
        <v>#REF!</v>
      </c>
      <c r="M50" s="34" t="e">
        <f>AND(#REF!,"AAAAAGWrbgw=")</f>
        <v>#REF!</v>
      </c>
      <c r="N50" s="34" t="e">
        <f>AND(#REF!,"AAAAAGWrbg0=")</f>
        <v>#REF!</v>
      </c>
      <c r="O50" s="34" t="e">
        <f>AND(#REF!,"AAAAAGWrbg4=")</f>
        <v>#REF!</v>
      </c>
      <c r="P50" s="34" t="e">
        <f>AND(#REF!,"AAAAAGWrbg8=")</f>
        <v>#REF!</v>
      </c>
      <c r="Q50" s="34" t="e">
        <f>AND(#REF!,"AAAAAGWrbhA=")</f>
        <v>#REF!</v>
      </c>
      <c r="R50" s="34" t="e">
        <f>AND(#REF!,"AAAAAGWrbhE=")</f>
        <v>#REF!</v>
      </c>
      <c r="S50" s="34" t="e">
        <f>AND(#REF!,"AAAAAGWrbhI=")</f>
        <v>#REF!</v>
      </c>
      <c r="T50" s="34" t="e">
        <f>AND(#REF!,"AAAAAGWrbhM=")</f>
        <v>#REF!</v>
      </c>
      <c r="U50" s="34" t="e">
        <f>AND(#REF!,"AAAAAGWrbhQ=")</f>
        <v>#REF!</v>
      </c>
      <c r="V50" s="34" t="e">
        <f>AND(#REF!,"AAAAAGWrbhU=")</f>
        <v>#REF!</v>
      </c>
      <c r="W50" s="34" t="e">
        <f>AND(#REF!,"AAAAAGWrbhY=")</f>
        <v>#REF!</v>
      </c>
      <c r="X50" s="34" t="e">
        <f>AND(#REF!,"AAAAAGWrbhc=")</f>
        <v>#REF!</v>
      </c>
      <c r="Y50" s="34" t="e">
        <f>AND(#REF!,"AAAAAGWrbhg=")</f>
        <v>#REF!</v>
      </c>
      <c r="Z50" s="34" t="e">
        <f>AND(#REF!,"AAAAAGWrbhk=")</f>
        <v>#REF!</v>
      </c>
      <c r="AA50" s="34" t="e">
        <f>AND(#REF!,"AAAAAGWrbho=")</f>
        <v>#REF!</v>
      </c>
      <c r="AB50" s="34" t="e">
        <f>AND(#REF!,"AAAAAGWrbhs=")</f>
        <v>#REF!</v>
      </c>
      <c r="AC50" s="34" t="e">
        <f>AND(#REF!,"AAAAAGWrbhw=")</f>
        <v>#REF!</v>
      </c>
      <c r="AD50" s="34" t="e">
        <f>AND(#REF!,"AAAAAGWrbh0=")</f>
        <v>#REF!</v>
      </c>
      <c r="AE50" s="34" t="e">
        <f>AND(#REF!,"AAAAAGWrbh4=")</f>
        <v>#REF!</v>
      </c>
      <c r="AF50" s="34" t="e">
        <f>AND(#REF!,"AAAAAGWrbh8=")</f>
        <v>#REF!</v>
      </c>
      <c r="AG50" s="34" t="e">
        <f>AND(#REF!,"AAAAAGWrbiA=")</f>
        <v>#REF!</v>
      </c>
      <c r="AH50" s="34" t="e">
        <f>AND(#REF!,"AAAAAGWrbiE=")</f>
        <v>#REF!</v>
      </c>
      <c r="AI50" s="34" t="e">
        <f>AND(#REF!,"AAAAAGWrbiI=")</f>
        <v>#REF!</v>
      </c>
      <c r="AJ50" s="34" t="e">
        <f>AND(#REF!,"AAAAAGWrbiM=")</f>
        <v>#REF!</v>
      </c>
      <c r="AK50" s="34" t="e">
        <f>AND(#REF!,"AAAAAGWrbiQ=")</f>
        <v>#REF!</v>
      </c>
      <c r="AL50" s="34" t="e">
        <f>IF(#REF!,"AAAAAGWrbiU=",0)</f>
        <v>#REF!</v>
      </c>
      <c r="AM50" s="34" t="e">
        <f>AND(#REF!,"AAAAAGWrbiY=")</f>
        <v>#REF!</v>
      </c>
      <c r="AN50" s="34" t="e">
        <f>AND(#REF!,"AAAAAGWrbic=")</f>
        <v>#REF!</v>
      </c>
      <c r="AO50" s="34" t="e">
        <f>AND(#REF!,"AAAAAGWrbig=")</f>
        <v>#REF!</v>
      </c>
      <c r="AP50" s="34" t="e">
        <f>AND(#REF!,"AAAAAGWrbik=")</f>
        <v>#REF!</v>
      </c>
      <c r="AQ50" s="34" t="e">
        <f>AND(#REF!,"AAAAAGWrbio=")</f>
        <v>#REF!</v>
      </c>
      <c r="AR50" s="34" t="e">
        <f>AND(#REF!,"AAAAAGWrbis=")</f>
        <v>#REF!</v>
      </c>
      <c r="AS50" s="34" t="e">
        <f>AND(#REF!,"AAAAAGWrbiw=")</f>
        <v>#REF!</v>
      </c>
      <c r="AT50" s="34" t="e">
        <f>AND(#REF!,"AAAAAGWrbi0=")</f>
        <v>#REF!</v>
      </c>
      <c r="AU50" s="34" t="e">
        <f>AND(#REF!,"AAAAAGWrbi4=")</f>
        <v>#REF!</v>
      </c>
      <c r="AV50" s="34" t="e">
        <f>AND(#REF!,"AAAAAGWrbi8=")</f>
        <v>#REF!</v>
      </c>
      <c r="AW50" s="34" t="e">
        <f>AND(#REF!,"AAAAAGWrbjA=")</f>
        <v>#REF!</v>
      </c>
      <c r="AX50" s="34" t="e">
        <f>AND(#REF!,"AAAAAGWrbjE=")</f>
        <v>#REF!</v>
      </c>
      <c r="AY50" s="34" t="e">
        <f>AND(#REF!,"AAAAAGWrbjI=")</f>
        <v>#REF!</v>
      </c>
      <c r="AZ50" s="34" t="e">
        <f>AND(#REF!,"AAAAAGWrbjM=")</f>
        <v>#REF!</v>
      </c>
      <c r="BA50" s="34" t="e">
        <f>AND(#REF!,"AAAAAGWrbjQ=")</f>
        <v>#REF!</v>
      </c>
      <c r="BB50" s="34" t="e">
        <f>AND(#REF!,"AAAAAGWrbjU=")</f>
        <v>#REF!</v>
      </c>
      <c r="BC50" s="34" t="e">
        <f>AND(#REF!,"AAAAAGWrbjY=")</f>
        <v>#REF!</v>
      </c>
      <c r="BD50" s="34" t="e">
        <f>AND(#REF!,"AAAAAGWrbjc=")</f>
        <v>#REF!</v>
      </c>
      <c r="BE50" s="34" t="e">
        <f>AND(#REF!,"AAAAAGWrbjg=")</f>
        <v>#REF!</v>
      </c>
      <c r="BF50" s="34" t="e">
        <f>AND(#REF!,"AAAAAGWrbjk=")</f>
        <v>#REF!</v>
      </c>
      <c r="BG50" s="34" t="e">
        <f>AND(#REF!,"AAAAAGWrbjo=")</f>
        <v>#REF!</v>
      </c>
      <c r="BH50" s="34" t="e">
        <f>AND(#REF!,"AAAAAGWrbjs=")</f>
        <v>#REF!</v>
      </c>
      <c r="BI50" s="34" t="e">
        <f>AND(#REF!,"AAAAAGWrbjw=")</f>
        <v>#REF!</v>
      </c>
      <c r="BJ50" s="34" t="e">
        <f>AND(#REF!,"AAAAAGWrbj0=")</f>
        <v>#REF!</v>
      </c>
      <c r="BK50" s="34" t="e">
        <f>AND(#REF!,"AAAAAGWrbj4=")</f>
        <v>#REF!</v>
      </c>
      <c r="BL50" s="34" t="e">
        <f>AND(#REF!,"AAAAAGWrbj8=")</f>
        <v>#REF!</v>
      </c>
      <c r="BM50" s="34" t="e">
        <f>AND(#REF!,"AAAAAGWrbkA=")</f>
        <v>#REF!</v>
      </c>
      <c r="BN50" s="34" t="e">
        <f>AND(#REF!,"AAAAAGWrbkE=")</f>
        <v>#REF!</v>
      </c>
      <c r="BO50" s="34" t="e">
        <f>AND(#REF!,"AAAAAGWrbkI=")</f>
        <v>#REF!</v>
      </c>
      <c r="BP50" s="34" t="e">
        <f>AND(#REF!,"AAAAAGWrbkM=")</f>
        <v>#REF!</v>
      </c>
      <c r="BQ50" s="34" t="e">
        <f>AND(#REF!,"AAAAAGWrbkQ=")</f>
        <v>#REF!</v>
      </c>
      <c r="BR50" s="34" t="e">
        <f>AND(#REF!,"AAAAAGWrbkU=")</f>
        <v>#REF!</v>
      </c>
      <c r="BS50" s="34" t="e">
        <f>AND(#REF!,"AAAAAGWrbkY=")</f>
        <v>#REF!</v>
      </c>
      <c r="BT50" s="34" t="e">
        <f>AND(#REF!,"AAAAAGWrbkc=")</f>
        <v>#REF!</v>
      </c>
      <c r="BU50" s="34" t="e">
        <f>AND(#REF!,"AAAAAGWrbkg=")</f>
        <v>#REF!</v>
      </c>
      <c r="BV50" s="34" t="e">
        <f>AND(#REF!,"AAAAAGWrbkk=")</f>
        <v>#REF!</v>
      </c>
      <c r="BW50" s="34" t="e">
        <f>AND(#REF!,"AAAAAGWrbko=")</f>
        <v>#REF!</v>
      </c>
      <c r="BX50" s="34" t="e">
        <f>AND(#REF!,"AAAAAGWrbks=")</f>
        <v>#REF!</v>
      </c>
      <c r="BY50" s="34" t="e">
        <f>AND(#REF!,"AAAAAGWrbkw=")</f>
        <v>#REF!</v>
      </c>
      <c r="BZ50" s="34" t="e">
        <f>AND(#REF!,"AAAAAGWrbk0=")</f>
        <v>#REF!</v>
      </c>
      <c r="CA50" s="34" t="e">
        <f>AND(#REF!,"AAAAAGWrbk4=")</f>
        <v>#REF!</v>
      </c>
      <c r="CB50" s="34" t="e">
        <f>AND(#REF!,"AAAAAGWrbk8=")</f>
        <v>#REF!</v>
      </c>
      <c r="CC50" s="34" t="e">
        <f>AND(#REF!,"AAAAAGWrblA=")</f>
        <v>#REF!</v>
      </c>
      <c r="CD50" s="34" t="e">
        <f>AND(#REF!,"AAAAAGWrblE=")</f>
        <v>#REF!</v>
      </c>
      <c r="CE50" s="34" t="e">
        <f>AND(#REF!,"AAAAAGWrblI=")</f>
        <v>#REF!</v>
      </c>
      <c r="CF50" s="34" t="e">
        <f>AND(#REF!,"AAAAAGWrblM=")</f>
        <v>#REF!</v>
      </c>
      <c r="CG50" s="34" t="e">
        <f>AND(#REF!,"AAAAAGWrblQ=")</f>
        <v>#REF!</v>
      </c>
      <c r="CH50" s="34" t="e">
        <f>AND(#REF!,"AAAAAGWrblU=")</f>
        <v>#REF!</v>
      </c>
      <c r="CI50" s="34" t="e">
        <f>AND(#REF!,"AAAAAGWrblY=")</f>
        <v>#REF!</v>
      </c>
      <c r="CJ50" s="34" t="e">
        <f>AND(#REF!,"AAAAAGWrblc=")</f>
        <v>#REF!</v>
      </c>
      <c r="CK50" s="34" t="e">
        <f>AND(#REF!,"AAAAAGWrblg=")</f>
        <v>#REF!</v>
      </c>
      <c r="CL50" s="34" t="e">
        <f>AND(#REF!,"AAAAAGWrblk=")</f>
        <v>#REF!</v>
      </c>
      <c r="CM50" s="34" t="e">
        <f>AND(#REF!,"AAAAAGWrblo=")</f>
        <v>#REF!</v>
      </c>
      <c r="CN50" s="34" t="e">
        <f>AND(#REF!,"AAAAAGWrbls=")</f>
        <v>#REF!</v>
      </c>
      <c r="CO50" s="34" t="e">
        <f>AND(#REF!,"AAAAAGWrblw=")</f>
        <v>#REF!</v>
      </c>
      <c r="CP50" s="34" t="e">
        <f>AND(#REF!,"AAAAAGWrbl0=")</f>
        <v>#REF!</v>
      </c>
      <c r="CQ50" s="34" t="e">
        <f>AND(#REF!,"AAAAAGWrbl4=")</f>
        <v>#REF!</v>
      </c>
      <c r="CR50" s="34" t="e">
        <f>AND(#REF!,"AAAAAGWrbl8=")</f>
        <v>#REF!</v>
      </c>
      <c r="CS50" s="34" t="e">
        <f>AND(#REF!,"AAAAAGWrbmA=")</f>
        <v>#REF!</v>
      </c>
      <c r="CT50" s="34" t="e">
        <f>AND(#REF!,"AAAAAGWrbmE=")</f>
        <v>#REF!</v>
      </c>
      <c r="CU50" s="34" t="e">
        <f>AND(#REF!,"AAAAAGWrbmI=")</f>
        <v>#REF!</v>
      </c>
      <c r="CV50" s="34" t="e">
        <f>AND(#REF!,"AAAAAGWrbmM=")</f>
        <v>#REF!</v>
      </c>
      <c r="CW50" s="34" t="e">
        <f>AND(#REF!,"AAAAAGWrbmQ=")</f>
        <v>#REF!</v>
      </c>
      <c r="CX50" s="34" t="e">
        <f>AND(#REF!,"AAAAAGWrbmU=")</f>
        <v>#REF!</v>
      </c>
      <c r="CY50" s="34" t="e">
        <f>AND(#REF!,"AAAAAGWrbmY=")</f>
        <v>#REF!</v>
      </c>
      <c r="CZ50" s="34" t="e">
        <f>AND(#REF!,"AAAAAGWrbmc=")</f>
        <v>#REF!</v>
      </c>
      <c r="DA50" s="34" t="e">
        <f>AND(#REF!,"AAAAAGWrbmg=")</f>
        <v>#REF!</v>
      </c>
      <c r="DB50" s="34" t="e">
        <f>AND(#REF!,"AAAAAGWrbmk=")</f>
        <v>#REF!</v>
      </c>
      <c r="DC50" s="34" t="e">
        <f>AND(#REF!,"AAAAAGWrbmo=")</f>
        <v>#REF!</v>
      </c>
      <c r="DD50" s="34" t="e">
        <f>AND(#REF!,"AAAAAGWrbms=")</f>
        <v>#REF!</v>
      </c>
      <c r="DE50" s="34" t="e">
        <f>AND(#REF!,"AAAAAGWrbmw=")</f>
        <v>#REF!</v>
      </c>
      <c r="DF50" s="34" t="e">
        <f>AND(#REF!,"AAAAAGWrbm0=")</f>
        <v>#REF!</v>
      </c>
      <c r="DG50" s="34" t="e">
        <f>IF(#REF!,"AAAAAGWrbm4=",0)</f>
        <v>#REF!</v>
      </c>
      <c r="DH50" s="34" t="e">
        <f>AND(#REF!,"AAAAAGWrbm8=")</f>
        <v>#REF!</v>
      </c>
      <c r="DI50" s="34" t="e">
        <f>AND(#REF!,"AAAAAGWrbnA=")</f>
        <v>#REF!</v>
      </c>
      <c r="DJ50" s="34" t="e">
        <f>AND(#REF!,"AAAAAGWrbnE=")</f>
        <v>#REF!</v>
      </c>
      <c r="DK50" s="34" t="e">
        <f>AND(#REF!,"AAAAAGWrbnI=")</f>
        <v>#REF!</v>
      </c>
      <c r="DL50" s="34" t="e">
        <f>AND(#REF!,"AAAAAGWrbnM=")</f>
        <v>#REF!</v>
      </c>
      <c r="DM50" s="34" t="e">
        <f>AND(#REF!,"AAAAAGWrbnQ=")</f>
        <v>#REF!</v>
      </c>
      <c r="DN50" s="34" t="e">
        <f>AND(#REF!,"AAAAAGWrbnU=")</f>
        <v>#REF!</v>
      </c>
      <c r="DO50" s="34" t="e">
        <f>AND(#REF!,"AAAAAGWrbnY=")</f>
        <v>#REF!</v>
      </c>
      <c r="DP50" s="34" t="e">
        <f>AND(#REF!,"AAAAAGWrbnc=")</f>
        <v>#REF!</v>
      </c>
      <c r="DQ50" s="34" t="e">
        <f>AND(#REF!,"AAAAAGWrbng=")</f>
        <v>#REF!</v>
      </c>
      <c r="DR50" s="34" t="e">
        <f>AND(#REF!,"AAAAAGWrbnk=")</f>
        <v>#REF!</v>
      </c>
      <c r="DS50" s="34" t="e">
        <f>AND(#REF!,"AAAAAGWrbno=")</f>
        <v>#REF!</v>
      </c>
      <c r="DT50" s="34" t="e">
        <f>AND(#REF!,"AAAAAGWrbns=")</f>
        <v>#REF!</v>
      </c>
      <c r="DU50" s="34" t="e">
        <f>AND(#REF!,"AAAAAGWrbnw=")</f>
        <v>#REF!</v>
      </c>
      <c r="DV50" s="34" t="e">
        <f>AND(#REF!,"AAAAAGWrbn0=")</f>
        <v>#REF!</v>
      </c>
      <c r="DW50" s="34" t="e">
        <f>AND(#REF!,"AAAAAGWrbn4=")</f>
        <v>#REF!</v>
      </c>
      <c r="DX50" s="34" t="e">
        <f>AND(#REF!,"AAAAAGWrbn8=")</f>
        <v>#REF!</v>
      </c>
      <c r="DY50" s="34" t="e">
        <f>AND(#REF!,"AAAAAGWrboA=")</f>
        <v>#REF!</v>
      </c>
      <c r="DZ50" s="34" t="e">
        <f>AND(#REF!,"AAAAAGWrboE=")</f>
        <v>#REF!</v>
      </c>
      <c r="EA50" s="34" t="e">
        <f>AND(#REF!,"AAAAAGWrboI=")</f>
        <v>#REF!</v>
      </c>
      <c r="EB50" s="34" t="e">
        <f>AND(#REF!,"AAAAAGWrboM=")</f>
        <v>#REF!</v>
      </c>
      <c r="EC50" s="34" t="e">
        <f>AND(#REF!,"AAAAAGWrboQ=")</f>
        <v>#REF!</v>
      </c>
      <c r="ED50" s="34" t="e">
        <f>AND(#REF!,"AAAAAGWrboU=")</f>
        <v>#REF!</v>
      </c>
      <c r="EE50" s="34" t="e">
        <f>AND(#REF!,"AAAAAGWrboY=")</f>
        <v>#REF!</v>
      </c>
      <c r="EF50" s="34" t="e">
        <f>AND(#REF!,"AAAAAGWrboc=")</f>
        <v>#REF!</v>
      </c>
      <c r="EG50" s="34" t="e">
        <f>AND(#REF!,"AAAAAGWrbog=")</f>
        <v>#REF!</v>
      </c>
      <c r="EH50" s="34" t="e">
        <f>AND(#REF!,"AAAAAGWrbok=")</f>
        <v>#REF!</v>
      </c>
      <c r="EI50" s="34" t="e">
        <f>AND(#REF!,"AAAAAGWrboo=")</f>
        <v>#REF!</v>
      </c>
      <c r="EJ50" s="34" t="e">
        <f>AND(#REF!,"AAAAAGWrbos=")</f>
        <v>#REF!</v>
      </c>
      <c r="EK50" s="34" t="e">
        <f>AND(#REF!,"AAAAAGWrbow=")</f>
        <v>#REF!</v>
      </c>
      <c r="EL50" s="34" t="e">
        <f>AND(#REF!,"AAAAAGWrbo0=")</f>
        <v>#REF!</v>
      </c>
      <c r="EM50" s="34" t="e">
        <f>AND(#REF!,"AAAAAGWrbo4=")</f>
        <v>#REF!</v>
      </c>
      <c r="EN50" s="34" t="e">
        <f>AND(#REF!,"AAAAAGWrbo8=")</f>
        <v>#REF!</v>
      </c>
      <c r="EO50" s="34" t="e">
        <f>AND(#REF!,"AAAAAGWrbpA=")</f>
        <v>#REF!</v>
      </c>
      <c r="EP50" s="34" t="e">
        <f>AND(#REF!,"AAAAAGWrbpE=")</f>
        <v>#REF!</v>
      </c>
      <c r="EQ50" s="34" t="e">
        <f>AND(#REF!,"AAAAAGWrbpI=")</f>
        <v>#REF!</v>
      </c>
      <c r="ER50" s="34" t="e">
        <f>AND(#REF!,"AAAAAGWrbpM=")</f>
        <v>#REF!</v>
      </c>
      <c r="ES50" s="34" t="e">
        <f>AND(#REF!,"AAAAAGWrbpQ=")</f>
        <v>#REF!</v>
      </c>
      <c r="ET50" s="34" t="e">
        <f>AND(#REF!,"AAAAAGWrbpU=")</f>
        <v>#REF!</v>
      </c>
      <c r="EU50" s="34" t="e">
        <f>AND(#REF!,"AAAAAGWrbpY=")</f>
        <v>#REF!</v>
      </c>
      <c r="EV50" s="34" t="e">
        <f>AND(#REF!,"AAAAAGWrbpc=")</f>
        <v>#REF!</v>
      </c>
      <c r="EW50" s="34" t="e">
        <f>AND(#REF!,"AAAAAGWrbpg=")</f>
        <v>#REF!</v>
      </c>
      <c r="EX50" s="34" t="e">
        <f>AND(#REF!,"AAAAAGWrbpk=")</f>
        <v>#REF!</v>
      </c>
      <c r="EY50" s="34" t="e">
        <f>AND(#REF!,"AAAAAGWrbpo=")</f>
        <v>#REF!</v>
      </c>
      <c r="EZ50" s="34" t="e">
        <f>AND(#REF!,"AAAAAGWrbps=")</f>
        <v>#REF!</v>
      </c>
      <c r="FA50" s="34" t="e">
        <f>AND(#REF!,"AAAAAGWrbpw=")</f>
        <v>#REF!</v>
      </c>
      <c r="FB50" s="34" t="e">
        <f>AND(#REF!,"AAAAAGWrbp0=")</f>
        <v>#REF!</v>
      </c>
      <c r="FC50" s="34" t="e">
        <f>AND(#REF!,"AAAAAGWrbp4=")</f>
        <v>#REF!</v>
      </c>
      <c r="FD50" s="34" t="e">
        <f>AND(#REF!,"AAAAAGWrbp8=")</f>
        <v>#REF!</v>
      </c>
      <c r="FE50" s="34" t="e">
        <f>AND(#REF!,"AAAAAGWrbqA=")</f>
        <v>#REF!</v>
      </c>
      <c r="FF50" s="34" t="e">
        <f>AND(#REF!,"AAAAAGWrbqE=")</f>
        <v>#REF!</v>
      </c>
      <c r="FG50" s="34" t="e">
        <f>AND(#REF!,"AAAAAGWrbqI=")</f>
        <v>#REF!</v>
      </c>
      <c r="FH50" s="34" t="e">
        <f>AND(#REF!,"AAAAAGWrbqM=")</f>
        <v>#REF!</v>
      </c>
      <c r="FI50" s="34" t="e">
        <f>AND(#REF!,"AAAAAGWrbqQ=")</f>
        <v>#REF!</v>
      </c>
      <c r="FJ50" s="34" t="e">
        <f>AND(#REF!,"AAAAAGWrbqU=")</f>
        <v>#REF!</v>
      </c>
      <c r="FK50" s="34" t="e">
        <f>AND(#REF!,"AAAAAGWrbqY=")</f>
        <v>#REF!</v>
      </c>
      <c r="FL50" s="34" t="e">
        <f>AND(#REF!,"AAAAAGWrbqc=")</f>
        <v>#REF!</v>
      </c>
      <c r="FM50" s="34" t="e">
        <f>AND(#REF!,"AAAAAGWrbqg=")</f>
        <v>#REF!</v>
      </c>
      <c r="FN50" s="34" t="e">
        <f>AND(#REF!,"AAAAAGWrbqk=")</f>
        <v>#REF!</v>
      </c>
      <c r="FO50" s="34" t="e">
        <f>AND(#REF!,"AAAAAGWrbqo=")</f>
        <v>#REF!</v>
      </c>
      <c r="FP50" s="34" t="e">
        <f>AND(#REF!,"AAAAAGWrbqs=")</f>
        <v>#REF!</v>
      </c>
      <c r="FQ50" s="34" t="e">
        <f>AND(#REF!,"AAAAAGWrbqw=")</f>
        <v>#REF!</v>
      </c>
      <c r="FR50" s="34" t="e">
        <f>AND(#REF!,"AAAAAGWrbq0=")</f>
        <v>#REF!</v>
      </c>
      <c r="FS50" s="34" t="e">
        <f>AND(#REF!,"AAAAAGWrbq4=")</f>
        <v>#REF!</v>
      </c>
      <c r="FT50" s="34" t="e">
        <f>AND(#REF!,"AAAAAGWrbq8=")</f>
        <v>#REF!</v>
      </c>
      <c r="FU50" s="34" t="e">
        <f>AND(#REF!,"AAAAAGWrbrA=")</f>
        <v>#REF!</v>
      </c>
      <c r="FV50" s="34" t="e">
        <f>AND(#REF!,"AAAAAGWrbrE=")</f>
        <v>#REF!</v>
      </c>
      <c r="FW50" s="34" t="e">
        <f>AND(#REF!,"AAAAAGWrbrI=")</f>
        <v>#REF!</v>
      </c>
      <c r="FX50" s="34" t="e">
        <f>AND(#REF!,"AAAAAGWrbrM=")</f>
        <v>#REF!</v>
      </c>
      <c r="FY50" s="34" t="e">
        <f>AND(#REF!,"AAAAAGWrbrQ=")</f>
        <v>#REF!</v>
      </c>
      <c r="FZ50" s="34" t="e">
        <f>AND(#REF!,"AAAAAGWrbrU=")</f>
        <v>#REF!</v>
      </c>
      <c r="GA50" s="34" t="e">
        <f>AND(#REF!,"AAAAAGWrbrY=")</f>
        <v>#REF!</v>
      </c>
      <c r="GB50" s="34" t="e">
        <f>IF(#REF!,"AAAAAGWrbrc=",0)</f>
        <v>#REF!</v>
      </c>
      <c r="GC50" s="34" t="e">
        <f>AND(#REF!,"AAAAAGWrbrg=")</f>
        <v>#REF!</v>
      </c>
      <c r="GD50" s="34" t="e">
        <f>AND(#REF!,"AAAAAGWrbrk=")</f>
        <v>#REF!</v>
      </c>
      <c r="GE50" s="34" t="e">
        <f>AND(#REF!,"AAAAAGWrbro=")</f>
        <v>#REF!</v>
      </c>
      <c r="GF50" s="34" t="e">
        <f>AND(#REF!,"AAAAAGWrbrs=")</f>
        <v>#REF!</v>
      </c>
      <c r="GG50" s="34" t="e">
        <f>AND(#REF!,"AAAAAGWrbrw=")</f>
        <v>#REF!</v>
      </c>
      <c r="GH50" s="34" t="e">
        <f>AND(#REF!,"AAAAAGWrbr0=")</f>
        <v>#REF!</v>
      </c>
      <c r="GI50" s="34" t="e">
        <f>AND(#REF!,"AAAAAGWrbr4=")</f>
        <v>#REF!</v>
      </c>
      <c r="GJ50" s="34" t="e">
        <f>AND(#REF!,"AAAAAGWrbr8=")</f>
        <v>#REF!</v>
      </c>
      <c r="GK50" s="34" t="e">
        <f>AND(#REF!,"AAAAAGWrbsA=")</f>
        <v>#REF!</v>
      </c>
      <c r="GL50" s="34" t="e">
        <f>AND(#REF!,"AAAAAGWrbsE=")</f>
        <v>#REF!</v>
      </c>
      <c r="GM50" s="34" t="e">
        <f>AND(#REF!,"AAAAAGWrbsI=")</f>
        <v>#REF!</v>
      </c>
      <c r="GN50" s="34" t="e">
        <f>AND(#REF!,"AAAAAGWrbsM=")</f>
        <v>#REF!</v>
      </c>
      <c r="GO50" s="34" t="e">
        <f>AND(#REF!,"AAAAAGWrbsQ=")</f>
        <v>#REF!</v>
      </c>
      <c r="GP50" s="34" t="e">
        <f>AND(#REF!,"AAAAAGWrbsU=")</f>
        <v>#REF!</v>
      </c>
      <c r="GQ50" s="34" t="e">
        <f>AND(#REF!,"AAAAAGWrbsY=")</f>
        <v>#REF!</v>
      </c>
      <c r="GR50" s="34" t="e">
        <f>AND(#REF!,"AAAAAGWrbsc=")</f>
        <v>#REF!</v>
      </c>
      <c r="GS50" s="34" t="e">
        <f>AND(#REF!,"AAAAAGWrbsg=")</f>
        <v>#REF!</v>
      </c>
      <c r="GT50" s="34" t="e">
        <f>AND(#REF!,"AAAAAGWrbsk=")</f>
        <v>#REF!</v>
      </c>
      <c r="GU50" s="34" t="e">
        <f>AND(#REF!,"AAAAAGWrbso=")</f>
        <v>#REF!</v>
      </c>
      <c r="GV50" s="34" t="e">
        <f>AND(#REF!,"AAAAAGWrbss=")</f>
        <v>#REF!</v>
      </c>
      <c r="GW50" s="34" t="e">
        <f>AND(#REF!,"AAAAAGWrbsw=")</f>
        <v>#REF!</v>
      </c>
      <c r="GX50" s="34" t="e">
        <f>AND(#REF!,"AAAAAGWrbs0=")</f>
        <v>#REF!</v>
      </c>
      <c r="GY50" s="34" t="e">
        <f>AND(#REF!,"AAAAAGWrbs4=")</f>
        <v>#REF!</v>
      </c>
      <c r="GZ50" s="34" t="e">
        <f>AND(#REF!,"AAAAAGWrbs8=")</f>
        <v>#REF!</v>
      </c>
      <c r="HA50" s="34" t="e">
        <f>AND(#REF!,"AAAAAGWrbtA=")</f>
        <v>#REF!</v>
      </c>
      <c r="HB50" s="34" t="e">
        <f>AND(#REF!,"AAAAAGWrbtE=")</f>
        <v>#REF!</v>
      </c>
      <c r="HC50" s="34" t="e">
        <f>AND(#REF!,"AAAAAGWrbtI=")</f>
        <v>#REF!</v>
      </c>
      <c r="HD50" s="34" t="e">
        <f>AND(#REF!,"AAAAAGWrbtM=")</f>
        <v>#REF!</v>
      </c>
      <c r="HE50" s="34" t="e">
        <f>AND(#REF!,"AAAAAGWrbtQ=")</f>
        <v>#REF!</v>
      </c>
      <c r="HF50" s="34" t="e">
        <f>AND(#REF!,"AAAAAGWrbtU=")</f>
        <v>#REF!</v>
      </c>
      <c r="HG50" s="34" t="e">
        <f>AND(#REF!,"AAAAAGWrbtY=")</f>
        <v>#REF!</v>
      </c>
      <c r="HH50" s="34" t="e">
        <f>AND(#REF!,"AAAAAGWrbtc=")</f>
        <v>#REF!</v>
      </c>
      <c r="HI50" s="34" t="e">
        <f>AND(#REF!,"AAAAAGWrbtg=")</f>
        <v>#REF!</v>
      </c>
      <c r="HJ50" s="34" t="e">
        <f>AND(#REF!,"AAAAAGWrbtk=")</f>
        <v>#REF!</v>
      </c>
      <c r="HK50" s="34" t="e">
        <f>AND(#REF!,"AAAAAGWrbto=")</f>
        <v>#REF!</v>
      </c>
      <c r="HL50" s="34" t="e">
        <f>AND(#REF!,"AAAAAGWrbts=")</f>
        <v>#REF!</v>
      </c>
      <c r="HM50" s="34" t="e">
        <f>AND(#REF!,"AAAAAGWrbtw=")</f>
        <v>#REF!</v>
      </c>
      <c r="HN50" s="34" t="e">
        <f>AND(#REF!,"AAAAAGWrbt0=")</f>
        <v>#REF!</v>
      </c>
      <c r="HO50" s="34" t="e">
        <f>AND(#REF!,"AAAAAGWrbt4=")</f>
        <v>#REF!</v>
      </c>
      <c r="HP50" s="34" t="e">
        <f>AND(#REF!,"AAAAAGWrbt8=")</f>
        <v>#REF!</v>
      </c>
      <c r="HQ50" s="34" t="e">
        <f>AND(#REF!,"AAAAAGWrbuA=")</f>
        <v>#REF!</v>
      </c>
      <c r="HR50" s="34" t="e">
        <f>AND(#REF!,"AAAAAGWrbuE=")</f>
        <v>#REF!</v>
      </c>
      <c r="HS50" s="34" t="e">
        <f>AND(#REF!,"AAAAAGWrbuI=")</f>
        <v>#REF!</v>
      </c>
      <c r="HT50" s="34" t="e">
        <f>AND(#REF!,"AAAAAGWrbuM=")</f>
        <v>#REF!</v>
      </c>
      <c r="HU50" s="34" t="e">
        <f>AND(#REF!,"AAAAAGWrbuQ=")</f>
        <v>#REF!</v>
      </c>
      <c r="HV50" s="34" t="e">
        <f>AND(#REF!,"AAAAAGWrbuU=")</f>
        <v>#REF!</v>
      </c>
      <c r="HW50" s="34" t="e">
        <f>AND(#REF!,"AAAAAGWrbuY=")</f>
        <v>#REF!</v>
      </c>
      <c r="HX50" s="34" t="e">
        <f>AND(#REF!,"AAAAAGWrbuc=")</f>
        <v>#REF!</v>
      </c>
      <c r="HY50" s="34" t="e">
        <f>AND(#REF!,"AAAAAGWrbug=")</f>
        <v>#REF!</v>
      </c>
      <c r="HZ50" s="34" t="e">
        <f>AND(#REF!,"AAAAAGWrbuk=")</f>
        <v>#REF!</v>
      </c>
      <c r="IA50" s="34" t="e">
        <f>AND(#REF!,"AAAAAGWrbuo=")</f>
        <v>#REF!</v>
      </c>
      <c r="IB50" s="34" t="e">
        <f>AND(#REF!,"AAAAAGWrbus=")</f>
        <v>#REF!</v>
      </c>
      <c r="IC50" s="34" t="e">
        <f>AND(#REF!,"AAAAAGWrbuw=")</f>
        <v>#REF!</v>
      </c>
      <c r="ID50" s="34" t="e">
        <f>AND(#REF!,"AAAAAGWrbu0=")</f>
        <v>#REF!</v>
      </c>
      <c r="IE50" s="34" t="e">
        <f>AND(#REF!,"AAAAAGWrbu4=")</f>
        <v>#REF!</v>
      </c>
      <c r="IF50" s="34" t="e">
        <f>AND(#REF!,"AAAAAGWrbu8=")</f>
        <v>#REF!</v>
      </c>
      <c r="IG50" s="34" t="e">
        <f>AND(#REF!,"AAAAAGWrbvA=")</f>
        <v>#REF!</v>
      </c>
      <c r="IH50" s="34" t="e">
        <f>AND(#REF!,"AAAAAGWrbvE=")</f>
        <v>#REF!</v>
      </c>
      <c r="II50" s="34" t="e">
        <f>AND(#REF!,"AAAAAGWrbvI=")</f>
        <v>#REF!</v>
      </c>
      <c r="IJ50" s="34" t="e">
        <f>AND(#REF!,"AAAAAGWrbvM=")</f>
        <v>#REF!</v>
      </c>
      <c r="IK50" s="34" t="e">
        <f>AND(#REF!,"AAAAAGWrbvQ=")</f>
        <v>#REF!</v>
      </c>
      <c r="IL50" s="34" t="e">
        <f>AND(#REF!,"AAAAAGWrbvU=")</f>
        <v>#REF!</v>
      </c>
      <c r="IM50" s="34" t="e">
        <f>AND(#REF!,"AAAAAGWrbvY=")</f>
        <v>#REF!</v>
      </c>
      <c r="IN50" s="34" t="e">
        <f>AND(#REF!,"AAAAAGWrbvc=")</f>
        <v>#REF!</v>
      </c>
      <c r="IO50" s="34" t="e">
        <f>AND(#REF!,"AAAAAGWrbvg=")</f>
        <v>#REF!</v>
      </c>
      <c r="IP50" s="34" t="e">
        <f>AND(#REF!,"AAAAAGWrbvk=")</f>
        <v>#REF!</v>
      </c>
      <c r="IQ50" s="34" t="e">
        <f>AND(#REF!,"AAAAAGWrbvo=")</f>
        <v>#REF!</v>
      </c>
      <c r="IR50" s="34" t="e">
        <f>AND(#REF!,"AAAAAGWrbvs=")</f>
        <v>#REF!</v>
      </c>
      <c r="IS50" s="34" t="e">
        <f>AND(#REF!,"AAAAAGWrbvw=")</f>
        <v>#REF!</v>
      </c>
      <c r="IT50" s="34" t="e">
        <f>AND(#REF!,"AAAAAGWrbv0=")</f>
        <v>#REF!</v>
      </c>
      <c r="IU50" s="34" t="e">
        <f>AND(#REF!,"AAAAAGWrbv4=")</f>
        <v>#REF!</v>
      </c>
      <c r="IV50" s="34" t="e">
        <f>AND(#REF!,"AAAAAGWrbv8=")</f>
        <v>#REF!</v>
      </c>
    </row>
    <row r="51" spans="1:256" ht="12.75" customHeight="1" x14ac:dyDescent="0.2">
      <c r="A51" s="34" t="e">
        <f>IF(#REF!,"AAAAAHX/3gA=",0)</f>
        <v>#REF!</v>
      </c>
      <c r="B51" s="34" t="e">
        <f>AND(#REF!,"AAAAAHX/3gE=")</f>
        <v>#REF!</v>
      </c>
      <c r="C51" s="34" t="e">
        <f>AND(#REF!,"AAAAAHX/3gI=")</f>
        <v>#REF!</v>
      </c>
      <c r="D51" s="34" t="e">
        <f>AND(#REF!,"AAAAAHX/3gM=")</f>
        <v>#REF!</v>
      </c>
      <c r="E51" s="34" t="e">
        <f>AND(#REF!,"AAAAAHX/3gQ=")</f>
        <v>#REF!</v>
      </c>
      <c r="F51" s="34" t="e">
        <f>AND(#REF!,"AAAAAHX/3gU=")</f>
        <v>#REF!</v>
      </c>
      <c r="G51" s="34" t="e">
        <f>AND(#REF!,"AAAAAHX/3gY=")</f>
        <v>#REF!</v>
      </c>
      <c r="H51" s="34" t="e">
        <f>AND(#REF!,"AAAAAHX/3gc=")</f>
        <v>#REF!</v>
      </c>
      <c r="I51" s="34" t="e">
        <f>AND(#REF!,"AAAAAHX/3gg=")</f>
        <v>#REF!</v>
      </c>
      <c r="J51" s="34" t="e">
        <f>AND(#REF!,"AAAAAHX/3gk=")</f>
        <v>#REF!</v>
      </c>
      <c r="K51" s="34" t="e">
        <f>AND(#REF!,"AAAAAHX/3go=")</f>
        <v>#REF!</v>
      </c>
      <c r="L51" s="34" t="e">
        <f>AND(#REF!,"AAAAAHX/3gs=")</f>
        <v>#REF!</v>
      </c>
      <c r="M51" s="34" t="e">
        <f>AND(#REF!,"AAAAAHX/3gw=")</f>
        <v>#REF!</v>
      </c>
      <c r="N51" s="34" t="e">
        <f>AND(#REF!,"AAAAAHX/3g0=")</f>
        <v>#REF!</v>
      </c>
      <c r="O51" s="34" t="e">
        <f>AND(#REF!,"AAAAAHX/3g4=")</f>
        <v>#REF!</v>
      </c>
      <c r="P51" s="34" t="e">
        <f>AND(#REF!,"AAAAAHX/3g8=")</f>
        <v>#REF!</v>
      </c>
      <c r="Q51" s="34" t="e">
        <f>AND(#REF!,"AAAAAHX/3hA=")</f>
        <v>#REF!</v>
      </c>
      <c r="R51" s="34" t="e">
        <f>AND(#REF!,"AAAAAHX/3hE=")</f>
        <v>#REF!</v>
      </c>
      <c r="S51" s="34" t="e">
        <f>AND(#REF!,"AAAAAHX/3hI=")</f>
        <v>#REF!</v>
      </c>
      <c r="T51" s="34" t="e">
        <f>AND(#REF!,"AAAAAHX/3hM=")</f>
        <v>#REF!</v>
      </c>
      <c r="U51" s="34" t="e">
        <f>AND(#REF!,"AAAAAHX/3hQ=")</f>
        <v>#REF!</v>
      </c>
      <c r="V51" s="34" t="e">
        <f>AND(#REF!,"AAAAAHX/3hU=")</f>
        <v>#REF!</v>
      </c>
      <c r="W51" s="34" t="e">
        <f>AND(#REF!,"AAAAAHX/3hY=")</f>
        <v>#REF!</v>
      </c>
      <c r="X51" s="34" t="e">
        <f>AND(#REF!,"AAAAAHX/3hc=")</f>
        <v>#REF!</v>
      </c>
      <c r="Y51" s="34" t="e">
        <f>AND(#REF!,"AAAAAHX/3hg=")</f>
        <v>#REF!</v>
      </c>
      <c r="Z51" s="34" t="e">
        <f>AND(#REF!,"AAAAAHX/3hk=")</f>
        <v>#REF!</v>
      </c>
      <c r="AA51" s="34" t="e">
        <f>AND(#REF!,"AAAAAHX/3ho=")</f>
        <v>#REF!</v>
      </c>
      <c r="AB51" s="34" t="e">
        <f>AND(#REF!,"AAAAAHX/3hs=")</f>
        <v>#REF!</v>
      </c>
      <c r="AC51" s="34" t="e">
        <f>AND(#REF!,"AAAAAHX/3hw=")</f>
        <v>#REF!</v>
      </c>
      <c r="AD51" s="34" t="e">
        <f>AND(#REF!,"AAAAAHX/3h0=")</f>
        <v>#REF!</v>
      </c>
      <c r="AE51" s="34" t="e">
        <f>AND(#REF!,"AAAAAHX/3h4=")</f>
        <v>#REF!</v>
      </c>
      <c r="AF51" s="34" t="e">
        <f>AND(#REF!,"AAAAAHX/3h8=")</f>
        <v>#REF!</v>
      </c>
      <c r="AG51" s="34" t="e">
        <f>AND(#REF!,"AAAAAHX/3iA=")</f>
        <v>#REF!</v>
      </c>
      <c r="AH51" s="34" t="e">
        <f>AND(#REF!,"AAAAAHX/3iE=")</f>
        <v>#REF!</v>
      </c>
      <c r="AI51" s="34" t="e">
        <f>AND(#REF!,"AAAAAHX/3iI=")</f>
        <v>#REF!</v>
      </c>
      <c r="AJ51" s="34" t="e">
        <f>AND(#REF!,"AAAAAHX/3iM=")</f>
        <v>#REF!</v>
      </c>
      <c r="AK51" s="34" t="e">
        <f>AND(#REF!,"AAAAAHX/3iQ=")</f>
        <v>#REF!</v>
      </c>
      <c r="AL51" s="34" t="e">
        <f>AND(#REF!,"AAAAAHX/3iU=")</f>
        <v>#REF!</v>
      </c>
      <c r="AM51" s="34" t="e">
        <f>AND(#REF!,"AAAAAHX/3iY=")</f>
        <v>#REF!</v>
      </c>
      <c r="AN51" s="34" t="e">
        <f>AND(#REF!,"AAAAAHX/3ic=")</f>
        <v>#REF!</v>
      </c>
      <c r="AO51" s="34" t="e">
        <f>AND(#REF!,"AAAAAHX/3ig=")</f>
        <v>#REF!</v>
      </c>
      <c r="AP51" s="34" t="e">
        <f>AND(#REF!,"AAAAAHX/3ik=")</f>
        <v>#REF!</v>
      </c>
      <c r="AQ51" s="34" t="e">
        <f>AND(#REF!,"AAAAAHX/3io=")</f>
        <v>#REF!</v>
      </c>
      <c r="AR51" s="34" t="e">
        <f>AND(#REF!,"AAAAAHX/3is=")</f>
        <v>#REF!</v>
      </c>
      <c r="AS51" s="34" t="e">
        <f>AND(#REF!,"AAAAAHX/3iw=")</f>
        <v>#REF!</v>
      </c>
      <c r="AT51" s="34" t="e">
        <f>AND(#REF!,"AAAAAHX/3i0=")</f>
        <v>#REF!</v>
      </c>
      <c r="AU51" s="34" t="e">
        <f>AND(#REF!,"AAAAAHX/3i4=")</f>
        <v>#REF!</v>
      </c>
      <c r="AV51" s="34" t="e">
        <f>AND(#REF!,"AAAAAHX/3i8=")</f>
        <v>#REF!</v>
      </c>
      <c r="AW51" s="34" t="e">
        <f>AND(#REF!,"AAAAAHX/3jA=")</f>
        <v>#REF!</v>
      </c>
      <c r="AX51" s="34" t="e">
        <f>AND(#REF!,"AAAAAHX/3jE=")</f>
        <v>#REF!</v>
      </c>
      <c r="AY51" s="34" t="e">
        <f>AND(#REF!,"AAAAAHX/3jI=")</f>
        <v>#REF!</v>
      </c>
      <c r="AZ51" s="34" t="e">
        <f>AND(#REF!,"AAAAAHX/3jM=")</f>
        <v>#REF!</v>
      </c>
      <c r="BA51" s="34" t="e">
        <f>AND(#REF!,"AAAAAHX/3jQ=")</f>
        <v>#REF!</v>
      </c>
      <c r="BB51" s="34" t="e">
        <f>AND(#REF!,"AAAAAHX/3jU=")</f>
        <v>#REF!</v>
      </c>
      <c r="BC51" s="34" t="e">
        <f>AND(#REF!,"AAAAAHX/3jY=")</f>
        <v>#REF!</v>
      </c>
      <c r="BD51" s="34" t="e">
        <f>AND(#REF!,"AAAAAHX/3jc=")</f>
        <v>#REF!</v>
      </c>
      <c r="BE51" s="34" t="e">
        <f>AND(#REF!,"AAAAAHX/3jg=")</f>
        <v>#REF!</v>
      </c>
      <c r="BF51" s="34" t="e">
        <f>AND(#REF!,"AAAAAHX/3jk=")</f>
        <v>#REF!</v>
      </c>
      <c r="BG51" s="34" t="e">
        <f>AND(#REF!,"AAAAAHX/3jo=")</f>
        <v>#REF!</v>
      </c>
      <c r="BH51" s="34" t="e">
        <f>AND(#REF!,"AAAAAHX/3js=")</f>
        <v>#REF!</v>
      </c>
      <c r="BI51" s="34" t="e">
        <f>AND(#REF!,"AAAAAHX/3jw=")</f>
        <v>#REF!</v>
      </c>
      <c r="BJ51" s="34" t="e">
        <f>AND(#REF!,"AAAAAHX/3j0=")</f>
        <v>#REF!</v>
      </c>
      <c r="BK51" s="34" t="e">
        <f>AND(#REF!,"AAAAAHX/3j4=")</f>
        <v>#REF!</v>
      </c>
      <c r="BL51" s="34" t="e">
        <f>AND(#REF!,"AAAAAHX/3j8=")</f>
        <v>#REF!</v>
      </c>
      <c r="BM51" s="34" t="e">
        <f>AND(#REF!,"AAAAAHX/3kA=")</f>
        <v>#REF!</v>
      </c>
      <c r="BN51" s="34" t="e">
        <f>AND(#REF!,"AAAAAHX/3kE=")</f>
        <v>#REF!</v>
      </c>
      <c r="BO51" s="34" t="e">
        <f>AND(#REF!,"AAAAAHX/3kI=")</f>
        <v>#REF!</v>
      </c>
      <c r="BP51" s="34" t="e">
        <f>AND(#REF!,"AAAAAHX/3kM=")</f>
        <v>#REF!</v>
      </c>
      <c r="BQ51" s="34" t="e">
        <f>AND(#REF!,"AAAAAHX/3kQ=")</f>
        <v>#REF!</v>
      </c>
      <c r="BR51" s="34" t="e">
        <f>AND(#REF!,"AAAAAHX/3kU=")</f>
        <v>#REF!</v>
      </c>
      <c r="BS51" s="34" t="e">
        <f>AND(#REF!,"AAAAAHX/3kY=")</f>
        <v>#REF!</v>
      </c>
      <c r="BT51" s="34" t="e">
        <f>AND(#REF!,"AAAAAHX/3kc=")</f>
        <v>#REF!</v>
      </c>
      <c r="BU51" s="34" t="e">
        <f>AND(#REF!,"AAAAAHX/3kg=")</f>
        <v>#REF!</v>
      </c>
      <c r="BV51" s="34" t="e">
        <f>IF(#REF!,"AAAAAHX/3kk=",0)</f>
        <v>#REF!</v>
      </c>
      <c r="BW51" s="34" t="e">
        <f>AND(#REF!,"AAAAAHX/3ko=")</f>
        <v>#REF!</v>
      </c>
      <c r="BX51" s="34" t="e">
        <f>AND(#REF!,"AAAAAHX/3ks=")</f>
        <v>#REF!</v>
      </c>
      <c r="BY51" s="34" t="e">
        <f>AND(#REF!,"AAAAAHX/3kw=")</f>
        <v>#REF!</v>
      </c>
      <c r="BZ51" s="34" t="e">
        <f>AND(#REF!,"AAAAAHX/3k0=")</f>
        <v>#REF!</v>
      </c>
      <c r="CA51" s="34" t="e">
        <f>AND(#REF!,"AAAAAHX/3k4=")</f>
        <v>#REF!</v>
      </c>
      <c r="CB51" s="34" t="e">
        <f>AND(#REF!,"AAAAAHX/3k8=")</f>
        <v>#REF!</v>
      </c>
      <c r="CC51" s="34" t="e">
        <f>AND(#REF!,"AAAAAHX/3lA=")</f>
        <v>#REF!</v>
      </c>
      <c r="CD51" s="34" t="e">
        <f>AND(#REF!,"AAAAAHX/3lE=")</f>
        <v>#REF!</v>
      </c>
      <c r="CE51" s="34" t="e">
        <f>AND(#REF!,"AAAAAHX/3lI=")</f>
        <v>#REF!</v>
      </c>
      <c r="CF51" s="34" t="e">
        <f>AND(#REF!,"AAAAAHX/3lM=")</f>
        <v>#REF!</v>
      </c>
      <c r="CG51" s="34" t="e">
        <f>AND(#REF!,"AAAAAHX/3lQ=")</f>
        <v>#REF!</v>
      </c>
      <c r="CH51" s="34" t="e">
        <f>AND(#REF!,"AAAAAHX/3lU=")</f>
        <v>#REF!</v>
      </c>
      <c r="CI51" s="34" t="e">
        <f>AND(#REF!,"AAAAAHX/3lY=")</f>
        <v>#REF!</v>
      </c>
      <c r="CJ51" s="34" t="e">
        <f>AND(#REF!,"AAAAAHX/3lc=")</f>
        <v>#REF!</v>
      </c>
      <c r="CK51" s="34" t="e">
        <f>AND(#REF!,"AAAAAHX/3lg=")</f>
        <v>#REF!</v>
      </c>
      <c r="CL51" s="34" t="e">
        <f>AND(#REF!,"AAAAAHX/3lk=")</f>
        <v>#REF!</v>
      </c>
      <c r="CM51" s="34" t="e">
        <f>AND(#REF!,"AAAAAHX/3lo=")</f>
        <v>#REF!</v>
      </c>
      <c r="CN51" s="34" t="e">
        <f>AND(#REF!,"AAAAAHX/3ls=")</f>
        <v>#REF!</v>
      </c>
      <c r="CO51" s="34" t="e">
        <f>AND(#REF!,"AAAAAHX/3lw=")</f>
        <v>#REF!</v>
      </c>
      <c r="CP51" s="34" t="e">
        <f>AND(#REF!,"AAAAAHX/3l0=")</f>
        <v>#REF!</v>
      </c>
      <c r="CQ51" s="34" t="e">
        <f>AND(#REF!,"AAAAAHX/3l4=")</f>
        <v>#REF!</v>
      </c>
      <c r="CR51" s="34" t="e">
        <f>AND(#REF!,"AAAAAHX/3l8=")</f>
        <v>#REF!</v>
      </c>
      <c r="CS51" s="34" t="e">
        <f>AND(#REF!,"AAAAAHX/3mA=")</f>
        <v>#REF!</v>
      </c>
      <c r="CT51" s="34" t="e">
        <f>AND(#REF!,"AAAAAHX/3mE=")</f>
        <v>#REF!</v>
      </c>
      <c r="CU51" s="34" t="e">
        <f>AND(#REF!,"AAAAAHX/3mI=")</f>
        <v>#REF!</v>
      </c>
      <c r="CV51" s="34" t="e">
        <f>AND(#REF!,"AAAAAHX/3mM=")</f>
        <v>#REF!</v>
      </c>
      <c r="CW51" s="34" t="e">
        <f>AND(#REF!,"AAAAAHX/3mQ=")</f>
        <v>#REF!</v>
      </c>
      <c r="CX51" s="34" t="e">
        <f>AND(#REF!,"AAAAAHX/3mU=")</f>
        <v>#REF!</v>
      </c>
      <c r="CY51" s="34" t="e">
        <f>AND(#REF!,"AAAAAHX/3mY=")</f>
        <v>#REF!</v>
      </c>
      <c r="CZ51" s="34" t="e">
        <f>AND(#REF!,"AAAAAHX/3mc=")</f>
        <v>#REF!</v>
      </c>
      <c r="DA51" s="34" t="e">
        <f>AND(#REF!,"AAAAAHX/3mg=")</f>
        <v>#REF!</v>
      </c>
      <c r="DB51" s="34" t="e">
        <f>AND(#REF!,"AAAAAHX/3mk=")</f>
        <v>#REF!</v>
      </c>
      <c r="DC51" s="34" t="e">
        <f>AND(#REF!,"AAAAAHX/3mo=")</f>
        <v>#REF!</v>
      </c>
      <c r="DD51" s="34" t="e">
        <f>AND(#REF!,"AAAAAHX/3ms=")</f>
        <v>#REF!</v>
      </c>
      <c r="DE51" s="34" t="e">
        <f>AND(#REF!,"AAAAAHX/3mw=")</f>
        <v>#REF!</v>
      </c>
      <c r="DF51" s="34" t="e">
        <f>AND(#REF!,"AAAAAHX/3m0=")</f>
        <v>#REF!</v>
      </c>
      <c r="DG51" s="34" t="e">
        <f>AND(#REF!,"AAAAAHX/3m4=")</f>
        <v>#REF!</v>
      </c>
      <c r="DH51" s="34" t="e">
        <f>AND(#REF!,"AAAAAHX/3m8=")</f>
        <v>#REF!</v>
      </c>
      <c r="DI51" s="34" t="e">
        <f>AND(#REF!,"AAAAAHX/3nA=")</f>
        <v>#REF!</v>
      </c>
      <c r="DJ51" s="34" t="e">
        <f>AND(#REF!,"AAAAAHX/3nE=")</f>
        <v>#REF!</v>
      </c>
      <c r="DK51" s="34" t="e">
        <f>AND(#REF!,"AAAAAHX/3nI=")</f>
        <v>#REF!</v>
      </c>
      <c r="DL51" s="34" t="e">
        <f>AND(#REF!,"AAAAAHX/3nM=")</f>
        <v>#REF!</v>
      </c>
      <c r="DM51" s="34" t="e">
        <f>AND(#REF!,"AAAAAHX/3nQ=")</f>
        <v>#REF!</v>
      </c>
      <c r="DN51" s="34" t="e">
        <f>AND(#REF!,"AAAAAHX/3nU=")</f>
        <v>#REF!</v>
      </c>
      <c r="DO51" s="34" t="e">
        <f>AND(#REF!,"AAAAAHX/3nY=")</f>
        <v>#REF!</v>
      </c>
      <c r="DP51" s="34" t="e">
        <f>AND(#REF!,"AAAAAHX/3nc=")</f>
        <v>#REF!</v>
      </c>
      <c r="DQ51" s="34" t="e">
        <f>AND(#REF!,"AAAAAHX/3ng=")</f>
        <v>#REF!</v>
      </c>
      <c r="DR51" s="34" t="e">
        <f>AND(#REF!,"AAAAAHX/3nk=")</f>
        <v>#REF!</v>
      </c>
      <c r="DS51" s="34" t="e">
        <f>AND(#REF!,"AAAAAHX/3no=")</f>
        <v>#REF!</v>
      </c>
      <c r="DT51" s="34" t="e">
        <f>AND(#REF!,"AAAAAHX/3ns=")</f>
        <v>#REF!</v>
      </c>
      <c r="DU51" s="34" t="e">
        <f>AND(#REF!,"AAAAAHX/3nw=")</f>
        <v>#REF!</v>
      </c>
      <c r="DV51" s="34" t="e">
        <f>AND(#REF!,"AAAAAHX/3n0=")</f>
        <v>#REF!</v>
      </c>
      <c r="DW51" s="34" t="e">
        <f>AND(#REF!,"AAAAAHX/3n4=")</f>
        <v>#REF!</v>
      </c>
      <c r="DX51" s="34" t="e">
        <f>AND(#REF!,"AAAAAHX/3n8=")</f>
        <v>#REF!</v>
      </c>
      <c r="DY51" s="34" t="e">
        <f>AND(#REF!,"AAAAAHX/3oA=")</f>
        <v>#REF!</v>
      </c>
      <c r="DZ51" s="34" t="e">
        <f>AND(#REF!,"AAAAAHX/3oE=")</f>
        <v>#REF!</v>
      </c>
      <c r="EA51" s="34" t="e">
        <f>AND(#REF!,"AAAAAHX/3oI=")</f>
        <v>#REF!</v>
      </c>
      <c r="EB51" s="34" t="e">
        <f>AND(#REF!,"AAAAAHX/3oM=")</f>
        <v>#REF!</v>
      </c>
      <c r="EC51" s="34" t="e">
        <f>AND(#REF!,"AAAAAHX/3oQ=")</f>
        <v>#REF!</v>
      </c>
      <c r="ED51" s="34" t="e">
        <f>AND(#REF!,"AAAAAHX/3oU=")</f>
        <v>#REF!</v>
      </c>
      <c r="EE51" s="34" t="e">
        <f>AND(#REF!,"AAAAAHX/3oY=")</f>
        <v>#REF!</v>
      </c>
      <c r="EF51" s="34" t="e">
        <f>AND(#REF!,"AAAAAHX/3oc=")</f>
        <v>#REF!</v>
      </c>
      <c r="EG51" s="34" t="e">
        <f>AND(#REF!,"AAAAAHX/3og=")</f>
        <v>#REF!</v>
      </c>
      <c r="EH51" s="34" t="e">
        <f>AND(#REF!,"AAAAAHX/3ok=")</f>
        <v>#REF!</v>
      </c>
      <c r="EI51" s="34" t="e">
        <f>AND(#REF!,"AAAAAHX/3oo=")</f>
        <v>#REF!</v>
      </c>
      <c r="EJ51" s="34" t="e">
        <f>AND(#REF!,"AAAAAHX/3os=")</f>
        <v>#REF!</v>
      </c>
      <c r="EK51" s="34" t="e">
        <f>AND(#REF!,"AAAAAHX/3ow=")</f>
        <v>#REF!</v>
      </c>
      <c r="EL51" s="34" t="e">
        <f>AND(#REF!,"AAAAAHX/3o0=")</f>
        <v>#REF!</v>
      </c>
      <c r="EM51" s="34" t="e">
        <f>AND(#REF!,"AAAAAHX/3o4=")</f>
        <v>#REF!</v>
      </c>
      <c r="EN51" s="34" t="e">
        <f>AND(#REF!,"AAAAAHX/3o8=")</f>
        <v>#REF!</v>
      </c>
      <c r="EO51" s="34" t="e">
        <f>AND(#REF!,"AAAAAHX/3pA=")</f>
        <v>#REF!</v>
      </c>
      <c r="EP51" s="34" t="e">
        <f>AND(#REF!,"AAAAAHX/3pE=")</f>
        <v>#REF!</v>
      </c>
      <c r="EQ51" s="34" t="e">
        <f>IF(#REF!,"AAAAAHX/3pI=",0)</f>
        <v>#REF!</v>
      </c>
      <c r="ER51" s="34" t="e">
        <f>AND(#REF!,"AAAAAHX/3pM=")</f>
        <v>#REF!</v>
      </c>
      <c r="ES51" s="34" t="e">
        <f>AND(#REF!,"AAAAAHX/3pQ=")</f>
        <v>#REF!</v>
      </c>
      <c r="ET51" s="34" t="e">
        <f>AND(#REF!,"AAAAAHX/3pU=")</f>
        <v>#REF!</v>
      </c>
      <c r="EU51" s="34" t="e">
        <f>AND(#REF!,"AAAAAHX/3pY=")</f>
        <v>#REF!</v>
      </c>
      <c r="EV51" s="34" t="e">
        <f>AND(#REF!,"AAAAAHX/3pc=")</f>
        <v>#REF!</v>
      </c>
      <c r="EW51" s="34" t="e">
        <f>AND(#REF!,"AAAAAHX/3pg=")</f>
        <v>#REF!</v>
      </c>
      <c r="EX51" s="34" t="e">
        <f>AND(#REF!,"AAAAAHX/3pk=")</f>
        <v>#REF!</v>
      </c>
      <c r="EY51" s="34" t="e">
        <f>AND(#REF!,"AAAAAHX/3po=")</f>
        <v>#REF!</v>
      </c>
      <c r="EZ51" s="34" t="e">
        <f>AND(#REF!,"AAAAAHX/3ps=")</f>
        <v>#REF!</v>
      </c>
      <c r="FA51" s="34" t="e">
        <f>AND(#REF!,"AAAAAHX/3pw=")</f>
        <v>#REF!</v>
      </c>
      <c r="FB51" s="34" t="e">
        <f>AND(#REF!,"AAAAAHX/3p0=")</f>
        <v>#REF!</v>
      </c>
      <c r="FC51" s="34" t="e">
        <f>AND(#REF!,"AAAAAHX/3p4=")</f>
        <v>#REF!</v>
      </c>
      <c r="FD51" s="34" t="e">
        <f>AND(#REF!,"AAAAAHX/3p8=")</f>
        <v>#REF!</v>
      </c>
      <c r="FE51" s="34" t="e">
        <f>AND(#REF!,"AAAAAHX/3qA=")</f>
        <v>#REF!</v>
      </c>
      <c r="FF51" s="34" t="e">
        <f>AND(#REF!,"AAAAAHX/3qE=")</f>
        <v>#REF!</v>
      </c>
      <c r="FG51" s="34" t="e">
        <f>AND(#REF!,"AAAAAHX/3qI=")</f>
        <v>#REF!</v>
      </c>
      <c r="FH51" s="34" t="e">
        <f>AND(#REF!,"AAAAAHX/3qM=")</f>
        <v>#REF!</v>
      </c>
      <c r="FI51" s="34" t="e">
        <f>AND(#REF!,"AAAAAHX/3qQ=")</f>
        <v>#REF!</v>
      </c>
      <c r="FJ51" s="34" t="e">
        <f>AND(#REF!,"AAAAAHX/3qU=")</f>
        <v>#REF!</v>
      </c>
      <c r="FK51" s="34" t="e">
        <f>AND(#REF!,"AAAAAHX/3qY=")</f>
        <v>#REF!</v>
      </c>
      <c r="FL51" s="34" t="e">
        <f>AND(#REF!,"AAAAAHX/3qc=")</f>
        <v>#REF!</v>
      </c>
      <c r="FM51" s="34" t="e">
        <f>AND(#REF!,"AAAAAHX/3qg=")</f>
        <v>#REF!</v>
      </c>
      <c r="FN51" s="34" t="e">
        <f>AND(#REF!,"AAAAAHX/3qk=")</f>
        <v>#REF!</v>
      </c>
      <c r="FO51" s="34" t="e">
        <f>AND(#REF!,"AAAAAHX/3qo=")</f>
        <v>#REF!</v>
      </c>
      <c r="FP51" s="34" t="e">
        <f>AND(#REF!,"AAAAAHX/3qs=")</f>
        <v>#REF!</v>
      </c>
      <c r="FQ51" s="34" t="e">
        <f>AND(#REF!,"AAAAAHX/3qw=")</f>
        <v>#REF!</v>
      </c>
      <c r="FR51" s="34" t="e">
        <f>AND(#REF!,"AAAAAHX/3q0=")</f>
        <v>#REF!</v>
      </c>
      <c r="FS51" s="34" t="e">
        <f>AND(#REF!,"AAAAAHX/3q4=")</f>
        <v>#REF!</v>
      </c>
      <c r="FT51" s="34" t="e">
        <f>AND(#REF!,"AAAAAHX/3q8=")</f>
        <v>#REF!</v>
      </c>
      <c r="FU51" s="34" t="e">
        <f>AND(#REF!,"AAAAAHX/3rA=")</f>
        <v>#REF!</v>
      </c>
      <c r="FV51" s="34" t="e">
        <f>AND(#REF!,"AAAAAHX/3rE=")</f>
        <v>#REF!</v>
      </c>
      <c r="FW51" s="34" t="e">
        <f>AND(#REF!,"AAAAAHX/3rI=")</f>
        <v>#REF!</v>
      </c>
      <c r="FX51" s="34" t="e">
        <f>AND(#REF!,"AAAAAHX/3rM=")</f>
        <v>#REF!</v>
      </c>
      <c r="FY51" s="34" t="e">
        <f>AND(#REF!,"AAAAAHX/3rQ=")</f>
        <v>#REF!</v>
      </c>
      <c r="FZ51" s="34" t="e">
        <f>AND(#REF!,"AAAAAHX/3rU=")</f>
        <v>#REF!</v>
      </c>
      <c r="GA51" s="34" t="e">
        <f>AND(#REF!,"AAAAAHX/3rY=")</f>
        <v>#REF!</v>
      </c>
      <c r="GB51" s="34" t="e">
        <f>AND(#REF!,"AAAAAHX/3rc=")</f>
        <v>#REF!</v>
      </c>
      <c r="GC51" s="34" t="e">
        <f>AND(#REF!,"AAAAAHX/3rg=")</f>
        <v>#REF!</v>
      </c>
      <c r="GD51" s="34" t="e">
        <f>AND(#REF!,"AAAAAHX/3rk=")</f>
        <v>#REF!</v>
      </c>
      <c r="GE51" s="34" t="e">
        <f>AND(#REF!,"AAAAAHX/3ro=")</f>
        <v>#REF!</v>
      </c>
      <c r="GF51" s="34" t="e">
        <f>AND(#REF!,"AAAAAHX/3rs=")</f>
        <v>#REF!</v>
      </c>
      <c r="GG51" s="34" t="e">
        <f>AND(#REF!,"AAAAAHX/3rw=")</f>
        <v>#REF!</v>
      </c>
      <c r="GH51" s="34" t="e">
        <f>AND(#REF!,"AAAAAHX/3r0=")</f>
        <v>#REF!</v>
      </c>
      <c r="GI51" s="34" t="e">
        <f>AND(#REF!,"AAAAAHX/3r4=")</f>
        <v>#REF!</v>
      </c>
      <c r="GJ51" s="34" t="e">
        <f>AND(#REF!,"AAAAAHX/3r8=")</f>
        <v>#REF!</v>
      </c>
      <c r="GK51" s="34" t="e">
        <f>AND(#REF!,"AAAAAHX/3sA=")</f>
        <v>#REF!</v>
      </c>
      <c r="GL51" s="34" t="e">
        <f>AND(#REF!,"AAAAAHX/3sE=")</f>
        <v>#REF!</v>
      </c>
      <c r="GM51" s="34" t="e">
        <f>AND(#REF!,"AAAAAHX/3sI=")</f>
        <v>#REF!</v>
      </c>
      <c r="GN51" s="34" t="e">
        <f>AND(#REF!,"AAAAAHX/3sM=")</f>
        <v>#REF!</v>
      </c>
      <c r="GO51" s="34" t="e">
        <f>AND(#REF!,"AAAAAHX/3sQ=")</f>
        <v>#REF!</v>
      </c>
      <c r="GP51" s="34" t="e">
        <f>AND(#REF!,"AAAAAHX/3sU=")</f>
        <v>#REF!</v>
      </c>
      <c r="GQ51" s="34" t="e">
        <f>AND(#REF!,"AAAAAHX/3sY=")</f>
        <v>#REF!</v>
      </c>
      <c r="GR51" s="34" t="e">
        <f>AND(#REF!,"AAAAAHX/3sc=")</f>
        <v>#REF!</v>
      </c>
      <c r="GS51" s="34" t="e">
        <f>AND(#REF!,"AAAAAHX/3sg=")</f>
        <v>#REF!</v>
      </c>
      <c r="GT51" s="34" t="e">
        <f>AND(#REF!,"AAAAAHX/3sk=")</f>
        <v>#REF!</v>
      </c>
      <c r="GU51" s="34" t="e">
        <f>AND(#REF!,"AAAAAHX/3so=")</f>
        <v>#REF!</v>
      </c>
      <c r="GV51" s="34" t="e">
        <f>AND(#REF!,"AAAAAHX/3ss=")</f>
        <v>#REF!</v>
      </c>
      <c r="GW51" s="34" t="e">
        <f>AND(#REF!,"AAAAAHX/3sw=")</f>
        <v>#REF!</v>
      </c>
      <c r="GX51" s="34" t="e">
        <f>AND(#REF!,"AAAAAHX/3s0=")</f>
        <v>#REF!</v>
      </c>
      <c r="GY51" s="34" t="e">
        <f>AND(#REF!,"AAAAAHX/3s4=")</f>
        <v>#REF!</v>
      </c>
      <c r="GZ51" s="34" t="e">
        <f>AND(#REF!,"AAAAAHX/3s8=")</f>
        <v>#REF!</v>
      </c>
      <c r="HA51" s="34" t="e">
        <f>AND(#REF!,"AAAAAHX/3tA=")</f>
        <v>#REF!</v>
      </c>
      <c r="HB51" s="34" t="e">
        <f>AND(#REF!,"AAAAAHX/3tE=")</f>
        <v>#REF!</v>
      </c>
      <c r="HC51" s="34" t="e">
        <f>AND(#REF!,"AAAAAHX/3tI=")</f>
        <v>#REF!</v>
      </c>
      <c r="HD51" s="34" t="e">
        <f>AND(#REF!,"AAAAAHX/3tM=")</f>
        <v>#REF!</v>
      </c>
      <c r="HE51" s="34" t="e">
        <f>AND(#REF!,"AAAAAHX/3tQ=")</f>
        <v>#REF!</v>
      </c>
      <c r="HF51" s="34" t="e">
        <f>AND(#REF!,"AAAAAHX/3tU=")</f>
        <v>#REF!</v>
      </c>
      <c r="HG51" s="34" t="e">
        <f>AND(#REF!,"AAAAAHX/3tY=")</f>
        <v>#REF!</v>
      </c>
      <c r="HH51" s="34" t="e">
        <f>AND(#REF!,"AAAAAHX/3tc=")</f>
        <v>#REF!</v>
      </c>
      <c r="HI51" s="34" t="e">
        <f>AND(#REF!,"AAAAAHX/3tg=")</f>
        <v>#REF!</v>
      </c>
      <c r="HJ51" s="34" t="e">
        <f>AND(#REF!,"AAAAAHX/3tk=")</f>
        <v>#REF!</v>
      </c>
      <c r="HK51" s="34" t="e">
        <f>AND(#REF!,"AAAAAHX/3to=")</f>
        <v>#REF!</v>
      </c>
      <c r="HL51" s="34" t="e">
        <f>IF(#REF!,"AAAAAHX/3ts=",0)</f>
        <v>#REF!</v>
      </c>
      <c r="HM51" s="34" t="e">
        <f>AND(#REF!,"AAAAAHX/3tw=")</f>
        <v>#REF!</v>
      </c>
      <c r="HN51" s="34" t="e">
        <f>AND(#REF!,"AAAAAHX/3t0=")</f>
        <v>#REF!</v>
      </c>
      <c r="HO51" s="34" t="e">
        <f>AND(#REF!,"AAAAAHX/3t4=")</f>
        <v>#REF!</v>
      </c>
      <c r="HP51" s="34" t="e">
        <f>AND(#REF!,"AAAAAHX/3t8=")</f>
        <v>#REF!</v>
      </c>
      <c r="HQ51" s="34" t="e">
        <f>AND(#REF!,"AAAAAHX/3uA=")</f>
        <v>#REF!</v>
      </c>
      <c r="HR51" s="34" t="e">
        <f>AND(#REF!,"AAAAAHX/3uE=")</f>
        <v>#REF!</v>
      </c>
      <c r="HS51" s="34" t="e">
        <f>AND(#REF!,"AAAAAHX/3uI=")</f>
        <v>#REF!</v>
      </c>
      <c r="HT51" s="34" t="e">
        <f>AND(#REF!,"AAAAAHX/3uM=")</f>
        <v>#REF!</v>
      </c>
      <c r="HU51" s="34" t="e">
        <f>AND(#REF!,"AAAAAHX/3uQ=")</f>
        <v>#REF!</v>
      </c>
      <c r="HV51" s="34" t="e">
        <f>AND(#REF!,"AAAAAHX/3uU=")</f>
        <v>#REF!</v>
      </c>
      <c r="HW51" s="34" t="e">
        <f>AND(#REF!,"AAAAAHX/3uY=")</f>
        <v>#REF!</v>
      </c>
      <c r="HX51" s="34" t="e">
        <f>AND(#REF!,"AAAAAHX/3uc=")</f>
        <v>#REF!</v>
      </c>
      <c r="HY51" s="34" t="e">
        <f>AND(#REF!,"AAAAAHX/3ug=")</f>
        <v>#REF!</v>
      </c>
      <c r="HZ51" s="34" t="e">
        <f>AND(#REF!,"AAAAAHX/3uk=")</f>
        <v>#REF!</v>
      </c>
      <c r="IA51" s="34" t="e">
        <f>AND(#REF!,"AAAAAHX/3uo=")</f>
        <v>#REF!</v>
      </c>
      <c r="IB51" s="34" t="e">
        <f>AND(#REF!,"AAAAAHX/3us=")</f>
        <v>#REF!</v>
      </c>
      <c r="IC51" s="34" t="e">
        <f>AND(#REF!,"AAAAAHX/3uw=")</f>
        <v>#REF!</v>
      </c>
      <c r="ID51" s="34" t="e">
        <f>AND(#REF!,"AAAAAHX/3u0=")</f>
        <v>#REF!</v>
      </c>
      <c r="IE51" s="34" t="e">
        <f>AND(#REF!,"AAAAAHX/3u4=")</f>
        <v>#REF!</v>
      </c>
      <c r="IF51" s="34" t="e">
        <f>AND(#REF!,"AAAAAHX/3u8=")</f>
        <v>#REF!</v>
      </c>
      <c r="IG51" s="34" t="e">
        <f>AND(#REF!,"AAAAAHX/3vA=")</f>
        <v>#REF!</v>
      </c>
      <c r="IH51" s="34" t="e">
        <f>AND(#REF!,"AAAAAHX/3vE=")</f>
        <v>#REF!</v>
      </c>
      <c r="II51" s="34" t="e">
        <f>AND(#REF!,"AAAAAHX/3vI=")</f>
        <v>#REF!</v>
      </c>
      <c r="IJ51" s="34" t="e">
        <f>AND(#REF!,"AAAAAHX/3vM=")</f>
        <v>#REF!</v>
      </c>
      <c r="IK51" s="34" t="e">
        <f>AND(#REF!,"AAAAAHX/3vQ=")</f>
        <v>#REF!</v>
      </c>
      <c r="IL51" s="34" t="e">
        <f>AND(#REF!,"AAAAAHX/3vU=")</f>
        <v>#REF!</v>
      </c>
      <c r="IM51" s="34" t="e">
        <f>AND(#REF!,"AAAAAHX/3vY=")</f>
        <v>#REF!</v>
      </c>
      <c r="IN51" s="34" t="e">
        <f>AND(#REF!,"AAAAAHX/3vc=")</f>
        <v>#REF!</v>
      </c>
      <c r="IO51" s="34" t="e">
        <f>AND(#REF!,"AAAAAHX/3vg=")</f>
        <v>#REF!</v>
      </c>
      <c r="IP51" s="34" t="e">
        <f>AND(#REF!,"AAAAAHX/3vk=")</f>
        <v>#REF!</v>
      </c>
      <c r="IQ51" s="34" t="e">
        <f>AND(#REF!,"AAAAAHX/3vo=")</f>
        <v>#REF!</v>
      </c>
      <c r="IR51" s="34" t="e">
        <f>AND(#REF!,"AAAAAHX/3vs=")</f>
        <v>#REF!</v>
      </c>
      <c r="IS51" s="34" t="e">
        <f>AND(#REF!,"AAAAAHX/3vw=")</f>
        <v>#REF!</v>
      </c>
      <c r="IT51" s="34" t="e">
        <f>AND(#REF!,"AAAAAHX/3v0=")</f>
        <v>#REF!</v>
      </c>
      <c r="IU51" s="34" t="e">
        <f>AND(#REF!,"AAAAAHX/3v4=")</f>
        <v>#REF!</v>
      </c>
      <c r="IV51" s="34" t="e">
        <f>AND(#REF!,"AAAAAHX/3v8=")</f>
        <v>#REF!</v>
      </c>
    </row>
    <row r="52" spans="1:256" ht="12.75" customHeight="1" x14ac:dyDescent="0.2">
      <c r="A52" s="34" t="e">
        <f>AND(#REF!,"AAAAAHd8/wA=")</f>
        <v>#REF!</v>
      </c>
      <c r="B52" s="34" t="e">
        <f>AND(#REF!,"AAAAAHd8/wE=")</f>
        <v>#REF!</v>
      </c>
      <c r="C52" s="34" t="e">
        <f>AND(#REF!,"AAAAAHd8/wI=")</f>
        <v>#REF!</v>
      </c>
      <c r="D52" s="34" t="e">
        <f>AND(#REF!,"AAAAAHd8/wM=")</f>
        <v>#REF!</v>
      </c>
      <c r="E52" s="34" t="e">
        <f>AND(#REF!,"AAAAAHd8/wQ=")</f>
        <v>#REF!</v>
      </c>
      <c r="F52" s="34" t="e">
        <f>AND(#REF!,"AAAAAHd8/wU=")</f>
        <v>#REF!</v>
      </c>
      <c r="G52" s="34" t="e">
        <f>AND(#REF!,"AAAAAHd8/wY=")</f>
        <v>#REF!</v>
      </c>
      <c r="H52" s="34" t="e">
        <f>AND(#REF!,"AAAAAHd8/wc=")</f>
        <v>#REF!</v>
      </c>
      <c r="I52" s="34" t="e">
        <f>AND(#REF!,"AAAAAHd8/wg=")</f>
        <v>#REF!</v>
      </c>
      <c r="J52" s="34" t="e">
        <f>AND(#REF!,"AAAAAHd8/wk=")</f>
        <v>#REF!</v>
      </c>
      <c r="K52" s="34" t="e">
        <f>AND(#REF!,"AAAAAHd8/wo=")</f>
        <v>#REF!</v>
      </c>
      <c r="L52" s="34" t="e">
        <f>AND(#REF!,"AAAAAHd8/ws=")</f>
        <v>#REF!</v>
      </c>
      <c r="M52" s="34" t="e">
        <f>AND(#REF!,"AAAAAHd8/ww=")</f>
        <v>#REF!</v>
      </c>
      <c r="N52" s="34" t="e">
        <f>AND(#REF!,"AAAAAHd8/w0=")</f>
        <v>#REF!</v>
      </c>
      <c r="O52" s="34" t="e">
        <f>AND(#REF!,"AAAAAHd8/w4=")</f>
        <v>#REF!</v>
      </c>
      <c r="P52" s="34" t="e">
        <f>AND(#REF!,"AAAAAHd8/w8=")</f>
        <v>#REF!</v>
      </c>
      <c r="Q52" s="34" t="e">
        <f>AND(#REF!,"AAAAAHd8/xA=")</f>
        <v>#REF!</v>
      </c>
      <c r="R52" s="34" t="e">
        <f>AND(#REF!,"AAAAAHd8/xE=")</f>
        <v>#REF!</v>
      </c>
      <c r="S52" s="34" t="e">
        <f>AND(#REF!,"AAAAAHd8/xI=")</f>
        <v>#REF!</v>
      </c>
      <c r="T52" s="34" t="e">
        <f>AND(#REF!,"AAAAAHd8/xM=")</f>
        <v>#REF!</v>
      </c>
      <c r="U52" s="34" t="e">
        <f>AND(#REF!,"AAAAAHd8/xQ=")</f>
        <v>#REF!</v>
      </c>
      <c r="V52" s="34" t="e">
        <f>AND(#REF!,"AAAAAHd8/xU=")</f>
        <v>#REF!</v>
      </c>
      <c r="W52" s="34" t="e">
        <f>AND(#REF!,"AAAAAHd8/xY=")</f>
        <v>#REF!</v>
      </c>
      <c r="X52" s="34" t="e">
        <f>AND(#REF!,"AAAAAHd8/xc=")</f>
        <v>#REF!</v>
      </c>
      <c r="Y52" s="34" t="e">
        <f>AND(#REF!,"AAAAAHd8/xg=")</f>
        <v>#REF!</v>
      </c>
      <c r="Z52" s="34" t="e">
        <f>AND(#REF!,"AAAAAHd8/xk=")</f>
        <v>#REF!</v>
      </c>
      <c r="AA52" s="34" t="e">
        <f>AND(#REF!,"AAAAAHd8/xo=")</f>
        <v>#REF!</v>
      </c>
      <c r="AB52" s="34" t="e">
        <f>AND(#REF!,"AAAAAHd8/xs=")</f>
        <v>#REF!</v>
      </c>
      <c r="AC52" s="34" t="e">
        <f>AND(#REF!,"AAAAAHd8/xw=")</f>
        <v>#REF!</v>
      </c>
      <c r="AD52" s="34" t="e">
        <f>AND(#REF!,"AAAAAHd8/x0=")</f>
        <v>#REF!</v>
      </c>
      <c r="AE52" s="34" t="e">
        <f>AND(#REF!,"AAAAAHd8/x4=")</f>
        <v>#REF!</v>
      </c>
      <c r="AF52" s="34" t="e">
        <f>AND(#REF!,"AAAAAHd8/x8=")</f>
        <v>#REF!</v>
      </c>
      <c r="AG52" s="34" t="e">
        <f>AND(#REF!,"AAAAAHd8/yA=")</f>
        <v>#REF!</v>
      </c>
      <c r="AH52" s="34" t="e">
        <f>AND(#REF!,"AAAAAHd8/yE=")</f>
        <v>#REF!</v>
      </c>
      <c r="AI52" s="34" t="e">
        <f>AND(#REF!,"AAAAAHd8/yI=")</f>
        <v>#REF!</v>
      </c>
      <c r="AJ52" s="34" t="e">
        <f>AND(#REF!,"AAAAAHd8/yM=")</f>
        <v>#REF!</v>
      </c>
      <c r="AK52" s="34" t="e">
        <f>IF(#REF!,"AAAAAHd8/yQ=",0)</f>
        <v>#REF!</v>
      </c>
      <c r="AL52" s="34" t="e">
        <f>AND(#REF!,"AAAAAHd8/yU=")</f>
        <v>#REF!</v>
      </c>
      <c r="AM52" s="34" t="e">
        <f>AND(#REF!,"AAAAAHd8/yY=")</f>
        <v>#REF!</v>
      </c>
      <c r="AN52" s="34" t="e">
        <f>AND(#REF!,"AAAAAHd8/yc=")</f>
        <v>#REF!</v>
      </c>
      <c r="AO52" s="34" t="e">
        <f>AND(#REF!,"AAAAAHd8/yg=")</f>
        <v>#REF!</v>
      </c>
      <c r="AP52" s="34" t="e">
        <f>AND(#REF!,"AAAAAHd8/yk=")</f>
        <v>#REF!</v>
      </c>
      <c r="AQ52" s="34" t="e">
        <f>AND(#REF!,"AAAAAHd8/yo=")</f>
        <v>#REF!</v>
      </c>
      <c r="AR52" s="34" t="e">
        <f>AND(#REF!,"AAAAAHd8/ys=")</f>
        <v>#REF!</v>
      </c>
      <c r="AS52" s="34" t="e">
        <f>AND(#REF!,"AAAAAHd8/yw=")</f>
        <v>#REF!</v>
      </c>
      <c r="AT52" s="34" t="e">
        <f>AND(#REF!,"AAAAAHd8/y0=")</f>
        <v>#REF!</v>
      </c>
      <c r="AU52" s="34" t="e">
        <f>AND(#REF!,"AAAAAHd8/y4=")</f>
        <v>#REF!</v>
      </c>
      <c r="AV52" s="34" t="e">
        <f>AND(#REF!,"AAAAAHd8/y8=")</f>
        <v>#REF!</v>
      </c>
      <c r="AW52" s="34" t="e">
        <f>AND(#REF!,"AAAAAHd8/zA=")</f>
        <v>#REF!</v>
      </c>
      <c r="AX52" s="34" t="e">
        <f>AND(#REF!,"AAAAAHd8/zE=")</f>
        <v>#REF!</v>
      </c>
      <c r="AY52" s="34" t="e">
        <f>AND(#REF!,"AAAAAHd8/zI=")</f>
        <v>#REF!</v>
      </c>
      <c r="AZ52" s="34" t="e">
        <f>AND(#REF!,"AAAAAHd8/zM=")</f>
        <v>#REF!</v>
      </c>
      <c r="BA52" s="34" t="e">
        <f>AND(#REF!,"AAAAAHd8/zQ=")</f>
        <v>#REF!</v>
      </c>
      <c r="BB52" s="34" t="e">
        <f>AND(#REF!,"AAAAAHd8/zU=")</f>
        <v>#REF!</v>
      </c>
      <c r="BC52" s="34" t="e">
        <f>AND(#REF!,"AAAAAHd8/zY=")</f>
        <v>#REF!</v>
      </c>
      <c r="BD52" s="34" t="e">
        <f>AND(#REF!,"AAAAAHd8/zc=")</f>
        <v>#REF!</v>
      </c>
      <c r="BE52" s="34" t="e">
        <f>AND(#REF!,"AAAAAHd8/zg=")</f>
        <v>#REF!</v>
      </c>
      <c r="BF52" s="34" t="e">
        <f>AND(#REF!,"AAAAAHd8/zk=")</f>
        <v>#REF!</v>
      </c>
      <c r="BG52" s="34" t="e">
        <f>AND(#REF!,"AAAAAHd8/zo=")</f>
        <v>#REF!</v>
      </c>
      <c r="BH52" s="34" t="e">
        <f>AND(#REF!,"AAAAAHd8/zs=")</f>
        <v>#REF!</v>
      </c>
      <c r="BI52" s="34" t="e">
        <f>AND(#REF!,"AAAAAHd8/zw=")</f>
        <v>#REF!</v>
      </c>
      <c r="BJ52" s="34" t="e">
        <f>AND(#REF!,"AAAAAHd8/z0=")</f>
        <v>#REF!</v>
      </c>
      <c r="BK52" s="34" t="e">
        <f>AND(#REF!,"AAAAAHd8/z4=")</f>
        <v>#REF!</v>
      </c>
      <c r="BL52" s="34" t="e">
        <f>AND(#REF!,"AAAAAHd8/z8=")</f>
        <v>#REF!</v>
      </c>
      <c r="BM52" s="34" t="e">
        <f>AND(#REF!,"AAAAAHd8/0A=")</f>
        <v>#REF!</v>
      </c>
      <c r="BN52" s="34" t="e">
        <f>AND(#REF!,"AAAAAHd8/0E=")</f>
        <v>#REF!</v>
      </c>
      <c r="BO52" s="34" t="e">
        <f>AND(#REF!,"AAAAAHd8/0I=")</f>
        <v>#REF!</v>
      </c>
      <c r="BP52" s="34" t="e">
        <f>AND(#REF!,"AAAAAHd8/0M=")</f>
        <v>#REF!</v>
      </c>
      <c r="BQ52" s="34" t="e">
        <f>AND(#REF!,"AAAAAHd8/0Q=")</f>
        <v>#REF!</v>
      </c>
      <c r="BR52" s="34" t="e">
        <f>AND(#REF!,"AAAAAHd8/0U=")</f>
        <v>#REF!</v>
      </c>
      <c r="BS52" s="34" t="e">
        <f>AND(#REF!,"AAAAAHd8/0Y=")</f>
        <v>#REF!</v>
      </c>
      <c r="BT52" s="34" t="e">
        <f>AND(#REF!,"AAAAAHd8/0c=")</f>
        <v>#REF!</v>
      </c>
      <c r="BU52" s="34" t="e">
        <f>AND(#REF!,"AAAAAHd8/0g=")</f>
        <v>#REF!</v>
      </c>
      <c r="BV52" s="34" t="e">
        <f>AND(#REF!,"AAAAAHd8/0k=")</f>
        <v>#REF!</v>
      </c>
      <c r="BW52" s="34" t="e">
        <f>AND(#REF!,"AAAAAHd8/0o=")</f>
        <v>#REF!</v>
      </c>
      <c r="BX52" s="34" t="e">
        <f>AND(#REF!,"AAAAAHd8/0s=")</f>
        <v>#REF!</v>
      </c>
      <c r="BY52" s="34" t="e">
        <f>AND(#REF!,"AAAAAHd8/0w=")</f>
        <v>#REF!</v>
      </c>
      <c r="BZ52" s="34" t="e">
        <f>AND(#REF!,"AAAAAHd8/00=")</f>
        <v>#REF!</v>
      </c>
      <c r="CA52" s="34" t="e">
        <f>AND(#REF!,"AAAAAHd8/04=")</f>
        <v>#REF!</v>
      </c>
      <c r="CB52" s="34" t="e">
        <f>AND(#REF!,"AAAAAHd8/08=")</f>
        <v>#REF!</v>
      </c>
      <c r="CC52" s="34" t="e">
        <f>AND(#REF!,"AAAAAHd8/1A=")</f>
        <v>#REF!</v>
      </c>
      <c r="CD52" s="34" t="e">
        <f>AND(#REF!,"AAAAAHd8/1E=")</f>
        <v>#REF!</v>
      </c>
      <c r="CE52" s="34" t="e">
        <f>AND(#REF!,"AAAAAHd8/1I=")</f>
        <v>#REF!</v>
      </c>
      <c r="CF52" s="34" t="e">
        <f>AND(#REF!,"AAAAAHd8/1M=")</f>
        <v>#REF!</v>
      </c>
      <c r="CG52" s="34" t="e">
        <f>AND(#REF!,"AAAAAHd8/1Q=")</f>
        <v>#REF!</v>
      </c>
      <c r="CH52" s="34" t="e">
        <f>AND(#REF!,"AAAAAHd8/1U=")</f>
        <v>#REF!</v>
      </c>
      <c r="CI52" s="34" t="e">
        <f>AND(#REF!,"AAAAAHd8/1Y=")</f>
        <v>#REF!</v>
      </c>
      <c r="CJ52" s="34" t="e">
        <f>AND(#REF!,"AAAAAHd8/1c=")</f>
        <v>#REF!</v>
      </c>
      <c r="CK52" s="34" t="e">
        <f>AND(#REF!,"AAAAAHd8/1g=")</f>
        <v>#REF!</v>
      </c>
      <c r="CL52" s="34" t="e">
        <f>AND(#REF!,"AAAAAHd8/1k=")</f>
        <v>#REF!</v>
      </c>
      <c r="CM52" s="34" t="e">
        <f>AND(#REF!,"AAAAAHd8/1o=")</f>
        <v>#REF!</v>
      </c>
      <c r="CN52" s="34" t="e">
        <f>AND(#REF!,"AAAAAHd8/1s=")</f>
        <v>#REF!</v>
      </c>
      <c r="CO52" s="34" t="e">
        <f>AND(#REF!,"AAAAAHd8/1w=")</f>
        <v>#REF!</v>
      </c>
      <c r="CP52" s="34" t="e">
        <f>AND(#REF!,"AAAAAHd8/10=")</f>
        <v>#REF!</v>
      </c>
      <c r="CQ52" s="34" t="e">
        <f>AND(#REF!,"AAAAAHd8/14=")</f>
        <v>#REF!</v>
      </c>
      <c r="CR52" s="34" t="e">
        <f>AND(#REF!,"AAAAAHd8/18=")</f>
        <v>#REF!</v>
      </c>
      <c r="CS52" s="34" t="e">
        <f>AND(#REF!,"AAAAAHd8/2A=")</f>
        <v>#REF!</v>
      </c>
      <c r="CT52" s="34" t="e">
        <f>AND(#REF!,"AAAAAHd8/2E=")</f>
        <v>#REF!</v>
      </c>
      <c r="CU52" s="34" t="e">
        <f>AND(#REF!,"AAAAAHd8/2I=")</f>
        <v>#REF!</v>
      </c>
      <c r="CV52" s="34" t="e">
        <f>AND(#REF!,"AAAAAHd8/2M=")</f>
        <v>#REF!</v>
      </c>
      <c r="CW52" s="34" t="e">
        <f>AND(#REF!,"AAAAAHd8/2Q=")</f>
        <v>#REF!</v>
      </c>
      <c r="CX52" s="34" t="e">
        <f>AND(#REF!,"AAAAAHd8/2U=")</f>
        <v>#REF!</v>
      </c>
      <c r="CY52" s="34" t="e">
        <f>AND(#REF!,"AAAAAHd8/2Y=")</f>
        <v>#REF!</v>
      </c>
      <c r="CZ52" s="34" t="e">
        <f>AND(#REF!,"AAAAAHd8/2c=")</f>
        <v>#REF!</v>
      </c>
      <c r="DA52" s="34" t="e">
        <f>AND(#REF!,"AAAAAHd8/2g=")</f>
        <v>#REF!</v>
      </c>
      <c r="DB52" s="34" t="e">
        <f>AND(#REF!,"AAAAAHd8/2k=")</f>
        <v>#REF!</v>
      </c>
      <c r="DC52" s="34" t="e">
        <f>AND(#REF!,"AAAAAHd8/2o=")</f>
        <v>#REF!</v>
      </c>
      <c r="DD52" s="34" t="e">
        <f>AND(#REF!,"AAAAAHd8/2s=")</f>
        <v>#REF!</v>
      </c>
      <c r="DE52" s="34" t="e">
        <f>AND(#REF!,"AAAAAHd8/2w=")</f>
        <v>#REF!</v>
      </c>
      <c r="DF52" s="34" t="e">
        <f>IF(#REF!,"AAAAAHd8/20=",0)</f>
        <v>#REF!</v>
      </c>
      <c r="DG52" s="34" t="e">
        <f>AND(#REF!,"AAAAAHd8/24=")</f>
        <v>#REF!</v>
      </c>
      <c r="DH52" s="34" t="e">
        <f>AND(#REF!,"AAAAAHd8/28=")</f>
        <v>#REF!</v>
      </c>
      <c r="DI52" s="34" t="e">
        <f>AND(#REF!,"AAAAAHd8/3A=")</f>
        <v>#REF!</v>
      </c>
      <c r="DJ52" s="34" t="e">
        <f>AND(#REF!,"AAAAAHd8/3E=")</f>
        <v>#REF!</v>
      </c>
      <c r="DK52" s="34" t="e">
        <f>AND(#REF!,"AAAAAHd8/3I=")</f>
        <v>#REF!</v>
      </c>
      <c r="DL52" s="34" t="e">
        <f>AND(#REF!,"AAAAAHd8/3M=")</f>
        <v>#REF!</v>
      </c>
      <c r="DM52" s="34" t="e">
        <f>AND(#REF!,"AAAAAHd8/3Q=")</f>
        <v>#REF!</v>
      </c>
      <c r="DN52" s="34" t="e">
        <f>AND(#REF!,"AAAAAHd8/3U=")</f>
        <v>#REF!</v>
      </c>
      <c r="DO52" s="34" t="e">
        <f>AND(#REF!,"AAAAAHd8/3Y=")</f>
        <v>#REF!</v>
      </c>
      <c r="DP52" s="34" t="e">
        <f>AND(#REF!,"AAAAAHd8/3c=")</f>
        <v>#REF!</v>
      </c>
      <c r="DQ52" s="34" t="e">
        <f>AND(#REF!,"AAAAAHd8/3g=")</f>
        <v>#REF!</v>
      </c>
      <c r="DR52" s="34" t="e">
        <f>AND(#REF!,"AAAAAHd8/3k=")</f>
        <v>#REF!</v>
      </c>
      <c r="DS52" s="34" t="e">
        <f>AND(#REF!,"AAAAAHd8/3o=")</f>
        <v>#REF!</v>
      </c>
      <c r="DT52" s="34" t="e">
        <f>AND(#REF!,"AAAAAHd8/3s=")</f>
        <v>#REF!</v>
      </c>
      <c r="DU52" s="34" t="e">
        <f>AND(#REF!,"AAAAAHd8/3w=")</f>
        <v>#REF!</v>
      </c>
      <c r="DV52" s="34" t="e">
        <f>AND(#REF!,"AAAAAHd8/30=")</f>
        <v>#REF!</v>
      </c>
      <c r="DW52" s="34" t="e">
        <f>AND(#REF!,"AAAAAHd8/34=")</f>
        <v>#REF!</v>
      </c>
      <c r="DX52" s="34" t="e">
        <f>AND(#REF!,"AAAAAHd8/38=")</f>
        <v>#REF!</v>
      </c>
      <c r="DY52" s="34" t="e">
        <f>AND(#REF!,"AAAAAHd8/4A=")</f>
        <v>#REF!</v>
      </c>
      <c r="DZ52" s="34" t="e">
        <f>AND(#REF!,"AAAAAHd8/4E=")</f>
        <v>#REF!</v>
      </c>
      <c r="EA52" s="34" t="e">
        <f>AND(#REF!,"AAAAAHd8/4I=")</f>
        <v>#REF!</v>
      </c>
      <c r="EB52" s="34" t="e">
        <f>AND(#REF!,"AAAAAHd8/4M=")</f>
        <v>#REF!</v>
      </c>
      <c r="EC52" s="34" t="e">
        <f>AND(#REF!,"AAAAAHd8/4Q=")</f>
        <v>#REF!</v>
      </c>
      <c r="ED52" s="34" t="e">
        <f>AND(#REF!,"AAAAAHd8/4U=")</f>
        <v>#REF!</v>
      </c>
      <c r="EE52" s="34" t="e">
        <f>AND(#REF!,"AAAAAHd8/4Y=")</f>
        <v>#REF!</v>
      </c>
      <c r="EF52" s="34" t="e">
        <f>AND(#REF!,"AAAAAHd8/4c=")</f>
        <v>#REF!</v>
      </c>
      <c r="EG52" s="34" t="e">
        <f>AND(#REF!,"AAAAAHd8/4g=")</f>
        <v>#REF!</v>
      </c>
      <c r="EH52" s="34" t="e">
        <f>AND(#REF!,"AAAAAHd8/4k=")</f>
        <v>#REF!</v>
      </c>
      <c r="EI52" s="34" t="e">
        <f>AND(#REF!,"AAAAAHd8/4o=")</f>
        <v>#REF!</v>
      </c>
      <c r="EJ52" s="34" t="e">
        <f>AND(#REF!,"AAAAAHd8/4s=")</f>
        <v>#REF!</v>
      </c>
      <c r="EK52" s="34" t="e">
        <f>AND(#REF!,"AAAAAHd8/4w=")</f>
        <v>#REF!</v>
      </c>
      <c r="EL52" s="34" t="e">
        <f>AND(#REF!,"AAAAAHd8/40=")</f>
        <v>#REF!</v>
      </c>
      <c r="EM52" s="34" t="e">
        <f>AND(#REF!,"AAAAAHd8/44=")</f>
        <v>#REF!</v>
      </c>
      <c r="EN52" s="34" t="e">
        <f>AND(#REF!,"AAAAAHd8/48=")</f>
        <v>#REF!</v>
      </c>
      <c r="EO52" s="34" t="e">
        <f>AND(#REF!,"AAAAAHd8/5A=")</f>
        <v>#REF!</v>
      </c>
      <c r="EP52" s="34" t="e">
        <f>AND(#REF!,"AAAAAHd8/5E=")</f>
        <v>#REF!</v>
      </c>
      <c r="EQ52" s="34" t="e">
        <f>AND(#REF!,"AAAAAHd8/5I=")</f>
        <v>#REF!</v>
      </c>
      <c r="ER52" s="34" t="e">
        <f>AND(#REF!,"AAAAAHd8/5M=")</f>
        <v>#REF!</v>
      </c>
      <c r="ES52" s="34" t="e">
        <f>AND(#REF!,"AAAAAHd8/5Q=")</f>
        <v>#REF!</v>
      </c>
      <c r="ET52" s="34" t="e">
        <f>AND(#REF!,"AAAAAHd8/5U=")</f>
        <v>#REF!</v>
      </c>
      <c r="EU52" s="34" t="e">
        <f>AND(#REF!,"AAAAAHd8/5Y=")</f>
        <v>#REF!</v>
      </c>
      <c r="EV52" s="34" t="e">
        <f>AND(#REF!,"AAAAAHd8/5c=")</f>
        <v>#REF!</v>
      </c>
      <c r="EW52" s="34" t="e">
        <f>AND(#REF!,"AAAAAHd8/5g=")</f>
        <v>#REF!</v>
      </c>
      <c r="EX52" s="34" t="e">
        <f>AND(#REF!,"AAAAAHd8/5k=")</f>
        <v>#REF!</v>
      </c>
      <c r="EY52" s="34" t="e">
        <f>AND(#REF!,"AAAAAHd8/5o=")</f>
        <v>#REF!</v>
      </c>
      <c r="EZ52" s="34" t="e">
        <f>AND(#REF!,"AAAAAHd8/5s=")</f>
        <v>#REF!</v>
      </c>
      <c r="FA52" s="34" t="e">
        <f>AND(#REF!,"AAAAAHd8/5w=")</f>
        <v>#REF!</v>
      </c>
      <c r="FB52" s="34" t="e">
        <f>AND(#REF!,"AAAAAHd8/50=")</f>
        <v>#REF!</v>
      </c>
      <c r="FC52" s="34" t="e">
        <f>AND(#REF!,"AAAAAHd8/54=")</f>
        <v>#REF!</v>
      </c>
      <c r="FD52" s="34" t="e">
        <f>AND(#REF!,"AAAAAHd8/58=")</f>
        <v>#REF!</v>
      </c>
      <c r="FE52" s="34" t="e">
        <f>AND(#REF!,"AAAAAHd8/6A=")</f>
        <v>#REF!</v>
      </c>
      <c r="FF52" s="34" t="e">
        <f>AND(#REF!,"AAAAAHd8/6E=")</f>
        <v>#REF!</v>
      </c>
      <c r="FG52" s="34" t="e">
        <f>AND(#REF!,"AAAAAHd8/6I=")</f>
        <v>#REF!</v>
      </c>
      <c r="FH52" s="34" t="e">
        <f>AND(#REF!,"AAAAAHd8/6M=")</f>
        <v>#REF!</v>
      </c>
      <c r="FI52" s="34" t="e">
        <f>AND(#REF!,"AAAAAHd8/6Q=")</f>
        <v>#REF!</v>
      </c>
      <c r="FJ52" s="34" t="e">
        <f>AND(#REF!,"AAAAAHd8/6U=")</f>
        <v>#REF!</v>
      </c>
      <c r="FK52" s="34" t="e">
        <f>AND(#REF!,"AAAAAHd8/6Y=")</f>
        <v>#REF!</v>
      </c>
      <c r="FL52" s="34" t="e">
        <f>AND(#REF!,"AAAAAHd8/6c=")</f>
        <v>#REF!</v>
      </c>
      <c r="FM52" s="34" t="e">
        <f>AND(#REF!,"AAAAAHd8/6g=")</f>
        <v>#REF!</v>
      </c>
      <c r="FN52" s="34" t="e">
        <f>AND(#REF!,"AAAAAHd8/6k=")</f>
        <v>#REF!</v>
      </c>
      <c r="FO52" s="34" t="e">
        <f>AND(#REF!,"AAAAAHd8/6o=")</f>
        <v>#REF!</v>
      </c>
      <c r="FP52" s="34" t="e">
        <f>AND(#REF!,"AAAAAHd8/6s=")</f>
        <v>#REF!</v>
      </c>
      <c r="FQ52" s="34" t="e">
        <f>AND(#REF!,"AAAAAHd8/6w=")</f>
        <v>#REF!</v>
      </c>
      <c r="FR52" s="34" t="e">
        <f>AND(#REF!,"AAAAAHd8/60=")</f>
        <v>#REF!</v>
      </c>
      <c r="FS52" s="34" t="e">
        <f>AND(#REF!,"AAAAAHd8/64=")</f>
        <v>#REF!</v>
      </c>
      <c r="FT52" s="34" t="e">
        <f>AND(#REF!,"AAAAAHd8/68=")</f>
        <v>#REF!</v>
      </c>
      <c r="FU52" s="34" t="e">
        <f>AND(#REF!,"AAAAAHd8/7A=")</f>
        <v>#REF!</v>
      </c>
      <c r="FV52" s="34" t="e">
        <f>AND(#REF!,"AAAAAHd8/7E=")</f>
        <v>#REF!</v>
      </c>
      <c r="FW52" s="34" t="e">
        <f>AND(#REF!,"AAAAAHd8/7I=")</f>
        <v>#REF!</v>
      </c>
      <c r="FX52" s="34" t="e">
        <f>AND(#REF!,"AAAAAHd8/7M=")</f>
        <v>#REF!</v>
      </c>
      <c r="FY52" s="34" t="e">
        <f>AND(#REF!,"AAAAAHd8/7Q=")</f>
        <v>#REF!</v>
      </c>
      <c r="FZ52" s="34" t="e">
        <f>AND(#REF!,"AAAAAHd8/7U=")</f>
        <v>#REF!</v>
      </c>
      <c r="GA52" s="34" t="e">
        <f>IF(#REF!,"AAAAAHd8/7Y=",0)</f>
        <v>#REF!</v>
      </c>
      <c r="GB52" s="34" t="e">
        <f>AND(#REF!,"AAAAAHd8/7c=")</f>
        <v>#REF!</v>
      </c>
      <c r="GC52" s="34" t="e">
        <f>AND(#REF!,"AAAAAHd8/7g=")</f>
        <v>#REF!</v>
      </c>
      <c r="GD52" s="34" t="e">
        <f>AND(#REF!,"AAAAAHd8/7k=")</f>
        <v>#REF!</v>
      </c>
      <c r="GE52" s="34" t="e">
        <f>AND(#REF!,"AAAAAHd8/7o=")</f>
        <v>#REF!</v>
      </c>
      <c r="GF52" s="34" t="e">
        <f>AND(#REF!,"AAAAAHd8/7s=")</f>
        <v>#REF!</v>
      </c>
      <c r="GG52" s="34" t="e">
        <f>AND(#REF!,"AAAAAHd8/7w=")</f>
        <v>#REF!</v>
      </c>
      <c r="GH52" s="34" t="e">
        <f>AND(#REF!,"AAAAAHd8/70=")</f>
        <v>#REF!</v>
      </c>
      <c r="GI52" s="34" t="e">
        <f>AND(#REF!,"AAAAAHd8/74=")</f>
        <v>#REF!</v>
      </c>
      <c r="GJ52" s="34" t="e">
        <f>AND(#REF!,"AAAAAHd8/78=")</f>
        <v>#REF!</v>
      </c>
      <c r="GK52" s="34" t="e">
        <f>AND(#REF!,"AAAAAHd8/8A=")</f>
        <v>#REF!</v>
      </c>
      <c r="GL52" s="34" t="e">
        <f>AND(#REF!,"AAAAAHd8/8E=")</f>
        <v>#REF!</v>
      </c>
      <c r="GM52" s="34" t="e">
        <f>AND(#REF!,"AAAAAHd8/8I=")</f>
        <v>#REF!</v>
      </c>
      <c r="GN52" s="34" t="e">
        <f>AND(#REF!,"AAAAAHd8/8M=")</f>
        <v>#REF!</v>
      </c>
      <c r="GO52" s="34" t="e">
        <f>AND(#REF!,"AAAAAHd8/8Q=")</f>
        <v>#REF!</v>
      </c>
      <c r="GP52" s="34" t="e">
        <f>AND(#REF!,"AAAAAHd8/8U=")</f>
        <v>#REF!</v>
      </c>
      <c r="GQ52" s="34" t="e">
        <f>AND(#REF!,"AAAAAHd8/8Y=")</f>
        <v>#REF!</v>
      </c>
      <c r="GR52" s="34" t="e">
        <f>AND(#REF!,"AAAAAHd8/8c=")</f>
        <v>#REF!</v>
      </c>
      <c r="GS52" s="34" t="e">
        <f>AND(#REF!,"AAAAAHd8/8g=")</f>
        <v>#REF!</v>
      </c>
      <c r="GT52" s="34" t="e">
        <f>AND(#REF!,"AAAAAHd8/8k=")</f>
        <v>#REF!</v>
      </c>
      <c r="GU52" s="34" t="e">
        <f>AND(#REF!,"AAAAAHd8/8o=")</f>
        <v>#REF!</v>
      </c>
      <c r="GV52" s="34" t="e">
        <f>AND(#REF!,"AAAAAHd8/8s=")</f>
        <v>#REF!</v>
      </c>
      <c r="GW52" s="34" t="e">
        <f>AND(#REF!,"AAAAAHd8/8w=")</f>
        <v>#REF!</v>
      </c>
      <c r="GX52" s="34" t="e">
        <f>AND(#REF!,"AAAAAHd8/80=")</f>
        <v>#REF!</v>
      </c>
      <c r="GY52" s="34" t="e">
        <f>AND(#REF!,"AAAAAHd8/84=")</f>
        <v>#REF!</v>
      </c>
      <c r="GZ52" s="34" t="e">
        <f>AND(#REF!,"AAAAAHd8/88=")</f>
        <v>#REF!</v>
      </c>
      <c r="HA52" s="34" t="e">
        <f>AND(#REF!,"AAAAAHd8/9A=")</f>
        <v>#REF!</v>
      </c>
      <c r="HB52" s="34" t="e">
        <f>AND(#REF!,"AAAAAHd8/9E=")</f>
        <v>#REF!</v>
      </c>
      <c r="HC52" s="34" t="e">
        <f>AND(#REF!,"AAAAAHd8/9I=")</f>
        <v>#REF!</v>
      </c>
      <c r="HD52" s="34" t="e">
        <f>AND(#REF!,"AAAAAHd8/9M=")</f>
        <v>#REF!</v>
      </c>
      <c r="HE52" s="34" t="e">
        <f>AND(#REF!,"AAAAAHd8/9Q=")</f>
        <v>#REF!</v>
      </c>
      <c r="HF52" s="34" t="e">
        <f>AND(#REF!,"AAAAAHd8/9U=")</f>
        <v>#REF!</v>
      </c>
      <c r="HG52" s="34" t="e">
        <f>AND(#REF!,"AAAAAHd8/9Y=")</f>
        <v>#REF!</v>
      </c>
      <c r="HH52" s="34" t="e">
        <f>AND(#REF!,"AAAAAHd8/9c=")</f>
        <v>#REF!</v>
      </c>
      <c r="HI52" s="34" t="e">
        <f>AND(#REF!,"AAAAAHd8/9g=")</f>
        <v>#REF!</v>
      </c>
      <c r="HJ52" s="34" t="e">
        <f>AND(#REF!,"AAAAAHd8/9k=")</f>
        <v>#REF!</v>
      </c>
      <c r="HK52" s="34" t="e">
        <f>AND(#REF!,"AAAAAHd8/9o=")</f>
        <v>#REF!</v>
      </c>
      <c r="HL52" s="34" t="e">
        <f>AND(#REF!,"AAAAAHd8/9s=")</f>
        <v>#REF!</v>
      </c>
      <c r="HM52" s="34" t="e">
        <f>AND(#REF!,"AAAAAHd8/9w=")</f>
        <v>#REF!</v>
      </c>
      <c r="HN52" s="34" t="e">
        <f>AND(#REF!,"AAAAAHd8/90=")</f>
        <v>#REF!</v>
      </c>
      <c r="HO52" s="34" t="e">
        <f>AND(#REF!,"AAAAAHd8/94=")</f>
        <v>#REF!</v>
      </c>
      <c r="HP52" s="34" t="e">
        <f>AND(#REF!,"AAAAAHd8/98=")</f>
        <v>#REF!</v>
      </c>
      <c r="HQ52" s="34" t="e">
        <f>AND(#REF!,"AAAAAHd8/+A=")</f>
        <v>#REF!</v>
      </c>
      <c r="HR52" s="34" t="e">
        <f>AND(#REF!,"AAAAAHd8/+E=")</f>
        <v>#REF!</v>
      </c>
      <c r="HS52" s="34" t="e">
        <f>AND(#REF!,"AAAAAHd8/+I=")</f>
        <v>#REF!</v>
      </c>
      <c r="HT52" s="34" t="e">
        <f>AND(#REF!,"AAAAAHd8/+M=")</f>
        <v>#REF!</v>
      </c>
      <c r="HU52" s="34" t="e">
        <f>AND(#REF!,"AAAAAHd8/+Q=")</f>
        <v>#REF!</v>
      </c>
      <c r="HV52" s="34" t="e">
        <f>AND(#REF!,"AAAAAHd8/+U=")</f>
        <v>#REF!</v>
      </c>
      <c r="HW52" s="34" t="e">
        <f>AND(#REF!,"AAAAAHd8/+Y=")</f>
        <v>#REF!</v>
      </c>
      <c r="HX52" s="34" t="e">
        <f>AND(#REF!,"AAAAAHd8/+c=")</f>
        <v>#REF!</v>
      </c>
      <c r="HY52" s="34" t="e">
        <f>AND(#REF!,"AAAAAHd8/+g=")</f>
        <v>#REF!</v>
      </c>
      <c r="HZ52" s="34" t="e">
        <f>AND(#REF!,"AAAAAHd8/+k=")</f>
        <v>#REF!</v>
      </c>
      <c r="IA52" s="34" t="e">
        <f>AND(#REF!,"AAAAAHd8/+o=")</f>
        <v>#REF!</v>
      </c>
      <c r="IB52" s="34" t="e">
        <f>AND(#REF!,"AAAAAHd8/+s=")</f>
        <v>#REF!</v>
      </c>
      <c r="IC52" s="34" t="e">
        <f>AND(#REF!,"AAAAAHd8/+w=")</f>
        <v>#REF!</v>
      </c>
      <c r="ID52" s="34" t="e">
        <f>AND(#REF!,"AAAAAHd8/+0=")</f>
        <v>#REF!</v>
      </c>
      <c r="IE52" s="34" t="e">
        <f>AND(#REF!,"AAAAAHd8/+4=")</f>
        <v>#REF!</v>
      </c>
      <c r="IF52" s="34" t="e">
        <f>AND(#REF!,"AAAAAHd8/+8=")</f>
        <v>#REF!</v>
      </c>
      <c r="IG52" s="34" t="e">
        <f>AND(#REF!,"AAAAAHd8//A=")</f>
        <v>#REF!</v>
      </c>
      <c r="IH52" s="34" t="e">
        <f>AND(#REF!,"AAAAAHd8//E=")</f>
        <v>#REF!</v>
      </c>
      <c r="II52" s="34" t="e">
        <f>AND(#REF!,"AAAAAHd8//I=")</f>
        <v>#REF!</v>
      </c>
      <c r="IJ52" s="34" t="e">
        <f>AND(#REF!,"AAAAAHd8//M=")</f>
        <v>#REF!</v>
      </c>
      <c r="IK52" s="34" t="e">
        <f>AND(#REF!,"AAAAAHd8//Q=")</f>
        <v>#REF!</v>
      </c>
      <c r="IL52" s="34" t="e">
        <f>AND(#REF!,"AAAAAHd8//U=")</f>
        <v>#REF!</v>
      </c>
      <c r="IM52" s="34" t="e">
        <f>AND(#REF!,"AAAAAHd8//Y=")</f>
        <v>#REF!</v>
      </c>
      <c r="IN52" s="34" t="e">
        <f>AND(#REF!,"AAAAAHd8//c=")</f>
        <v>#REF!</v>
      </c>
      <c r="IO52" s="34" t="e">
        <f>AND(#REF!,"AAAAAHd8//g=")</f>
        <v>#REF!</v>
      </c>
      <c r="IP52" s="34" t="e">
        <f>AND(#REF!,"AAAAAHd8//k=")</f>
        <v>#REF!</v>
      </c>
      <c r="IQ52" s="34" t="e">
        <f>AND(#REF!,"AAAAAHd8//o=")</f>
        <v>#REF!</v>
      </c>
      <c r="IR52" s="34" t="e">
        <f>AND(#REF!,"AAAAAHd8//s=")</f>
        <v>#REF!</v>
      </c>
      <c r="IS52" s="34" t="e">
        <f>AND(#REF!,"AAAAAHd8//w=")</f>
        <v>#REF!</v>
      </c>
      <c r="IT52" s="34" t="e">
        <f>AND(#REF!,"AAAAAHd8//0=")</f>
        <v>#REF!</v>
      </c>
      <c r="IU52" s="34" t="e">
        <f>AND(#REF!,"AAAAAHd8//4=")</f>
        <v>#REF!</v>
      </c>
      <c r="IV52" s="34" t="e">
        <f>IF(#REF!,"AAAAAHd8//8=",0)</f>
        <v>#REF!</v>
      </c>
    </row>
    <row r="53" spans="1:256" ht="12.75" customHeight="1" x14ac:dyDescent="0.2">
      <c r="A53" s="34" t="e">
        <f>AND(#REF!,"AAAAAHde9wA=")</f>
        <v>#REF!</v>
      </c>
      <c r="B53" s="34" t="e">
        <f>AND(#REF!,"AAAAAHde9wE=")</f>
        <v>#REF!</v>
      </c>
      <c r="C53" s="34" t="e">
        <f>AND(#REF!,"AAAAAHde9wI=")</f>
        <v>#REF!</v>
      </c>
      <c r="D53" s="34" t="e">
        <f>AND(#REF!,"AAAAAHde9wM=")</f>
        <v>#REF!</v>
      </c>
      <c r="E53" s="34" t="e">
        <f>AND(#REF!,"AAAAAHde9wQ=")</f>
        <v>#REF!</v>
      </c>
      <c r="F53" s="34" t="e">
        <f>AND(#REF!,"AAAAAHde9wU=")</f>
        <v>#REF!</v>
      </c>
      <c r="G53" s="34" t="e">
        <f>AND(#REF!,"AAAAAHde9wY=")</f>
        <v>#REF!</v>
      </c>
      <c r="H53" s="34" t="e">
        <f>AND(#REF!,"AAAAAHde9wc=")</f>
        <v>#REF!</v>
      </c>
      <c r="I53" s="34" t="e">
        <f>AND(#REF!,"AAAAAHde9wg=")</f>
        <v>#REF!</v>
      </c>
      <c r="J53" s="34" t="e">
        <f>AND(#REF!,"AAAAAHde9wk=")</f>
        <v>#REF!</v>
      </c>
      <c r="K53" s="34" t="e">
        <f>AND(#REF!,"AAAAAHde9wo=")</f>
        <v>#REF!</v>
      </c>
      <c r="L53" s="34" t="e">
        <f>AND(#REF!,"AAAAAHde9ws=")</f>
        <v>#REF!</v>
      </c>
      <c r="M53" s="34" t="e">
        <f>AND(#REF!,"AAAAAHde9ww=")</f>
        <v>#REF!</v>
      </c>
      <c r="N53" s="34" t="e">
        <f>AND(#REF!,"AAAAAHde9w0=")</f>
        <v>#REF!</v>
      </c>
      <c r="O53" s="34" t="e">
        <f>AND(#REF!,"AAAAAHde9w4=")</f>
        <v>#REF!</v>
      </c>
      <c r="P53" s="34" t="e">
        <f>AND(#REF!,"AAAAAHde9w8=")</f>
        <v>#REF!</v>
      </c>
      <c r="Q53" s="34" t="e">
        <f>AND(#REF!,"AAAAAHde9xA=")</f>
        <v>#REF!</v>
      </c>
      <c r="R53" s="34" t="e">
        <f>AND(#REF!,"AAAAAHde9xE=")</f>
        <v>#REF!</v>
      </c>
      <c r="S53" s="34" t="e">
        <f>AND(#REF!,"AAAAAHde9xI=")</f>
        <v>#REF!</v>
      </c>
      <c r="T53" s="34" t="e">
        <f>AND(#REF!,"AAAAAHde9xM=")</f>
        <v>#REF!</v>
      </c>
      <c r="U53" s="34" t="e">
        <f>AND(#REF!,"AAAAAHde9xQ=")</f>
        <v>#REF!</v>
      </c>
      <c r="V53" s="34" t="e">
        <f>AND(#REF!,"AAAAAHde9xU=")</f>
        <v>#REF!</v>
      </c>
      <c r="W53" s="34" t="e">
        <f>AND(#REF!,"AAAAAHde9xY=")</f>
        <v>#REF!</v>
      </c>
      <c r="X53" s="34" t="e">
        <f>AND(#REF!,"AAAAAHde9xc=")</f>
        <v>#REF!</v>
      </c>
      <c r="Y53" s="34" t="e">
        <f>AND(#REF!,"AAAAAHde9xg=")</f>
        <v>#REF!</v>
      </c>
      <c r="Z53" s="34" t="e">
        <f>AND(#REF!,"AAAAAHde9xk=")</f>
        <v>#REF!</v>
      </c>
      <c r="AA53" s="34" t="e">
        <f>AND(#REF!,"AAAAAHde9xo=")</f>
        <v>#REF!</v>
      </c>
      <c r="AB53" s="34" t="e">
        <f>AND(#REF!,"AAAAAHde9xs=")</f>
        <v>#REF!</v>
      </c>
      <c r="AC53" s="34" t="e">
        <f>AND(#REF!,"AAAAAHde9xw=")</f>
        <v>#REF!</v>
      </c>
      <c r="AD53" s="34" t="e">
        <f>AND(#REF!,"AAAAAHde9x0=")</f>
        <v>#REF!</v>
      </c>
      <c r="AE53" s="34" t="e">
        <f>AND(#REF!,"AAAAAHde9x4=")</f>
        <v>#REF!</v>
      </c>
      <c r="AF53" s="34" t="e">
        <f>AND(#REF!,"AAAAAHde9x8=")</f>
        <v>#REF!</v>
      </c>
      <c r="AG53" s="34" t="e">
        <f>AND(#REF!,"AAAAAHde9yA=")</f>
        <v>#REF!</v>
      </c>
      <c r="AH53" s="34" t="e">
        <f>AND(#REF!,"AAAAAHde9yE=")</f>
        <v>#REF!</v>
      </c>
      <c r="AI53" s="34" t="e">
        <f>AND(#REF!,"AAAAAHde9yI=")</f>
        <v>#REF!</v>
      </c>
      <c r="AJ53" s="34" t="e">
        <f>AND(#REF!,"AAAAAHde9yM=")</f>
        <v>#REF!</v>
      </c>
      <c r="AK53" s="34" t="e">
        <f>AND(#REF!,"AAAAAHde9yQ=")</f>
        <v>#REF!</v>
      </c>
      <c r="AL53" s="34" t="e">
        <f>AND(#REF!,"AAAAAHde9yU=")</f>
        <v>#REF!</v>
      </c>
      <c r="AM53" s="34" t="e">
        <f>AND(#REF!,"AAAAAHde9yY=")</f>
        <v>#REF!</v>
      </c>
      <c r="AN53" s="34" t="e">
        <f>AND(#REF!,"AAAAAHde9yc=")</f>
        <v>#REF!</v>
      </c>
      <c r="AO53" s="34" t="e">
        <f>AND(#REF!,"AAAAAHde9yg=")</f>
        <v>#REF!</v>
      </c>
      <c r="AP53" s="34" t="e">
        <f>AND(#REF!,"AAAAAHde9yk=")</f>
        <v>#REF!</v>
      </c>
      <c r="AQ53" s="34" t="e">
        <f>AND(#REF!,"AAAAAHde9yo=")</f>
        <v>#REF!</v>
      </c>
      <c r="AR53" s="34" t="e">
        <f>AND(#REF!,"AAAAAHde9ys=")</f>
        <v>#REF!</v>
      </c>
      <c r="AS53" s="34" t="e">
        <f>AND(#REF!,"AAAAAHde9yw=")</f>
        <v>#REF!</v>
      </c>
      <c r="AT53" s="34" t="e">
        <f>AND(#REF!,"AAAAAHde9y0=")</f>
        <v>#REF!</v>
      </c>
      <c r="AU53" s="34" t="e">
        <f>AND(#REF!,"AAAAAHde9y4=")</f>
        <v>#REF!</v>
      </c>
      <c r="AV53" s="34" t="e">
        <f>AND(#REF!,"AAAAAHde9y8=")</f>
        <v>#REF!</v>
      </c>
      <c r="AW53" s="34" t="e">
        <f>AND(#REF!,"AAAAAHde9zA=")</f>
        <v>#REF!</v>
      </c>
      <c r="AX53" s="34" t="e">
        <f>AND(#REF!,"AAAAAHde9zE=")</f>
        <v>#REF!</v>
      </c>
      <c r="AY53" s="34" t="e">
        <f>AND(#REF!,"AAAAAHde9zI=")</f>
        <v>#REF!</v>
      </c>
      <c r="AZ53" s="34" t="e">
        <f>AND(#REF!,"AAAAAHde9zM=")</f>
        <v>#REF!</v>
      </c>
      <c r="BA53" s="34" t="e">
        <f>AND(#REF!,"AAAAAHde9zQ=")</f>
        <v>#REF!</v>
      </c>
      <c r="BB53" s="34" t="e">
        <f>AND(#REF!,"AAAAAHde9zU=")</f>
        <v>#REF!</v>
      </c>
      <c r="BC53" s="34" t="e">
        <f>AND(#REF!,"AAAAAHde9zY=")</f>
        <v>#REF!</v>
      </c>
      <c r="BD53" s="34" t="e">
        <f>AND(#REF!,"AAAAAHde9zc=")</f>
        <v>#REF!</v>
      </c>
      <c r="BE53" s="34" t="e">
        <f>AND(#REF!,"AAAAAHde9zg=")</f>
        <v>#REF!</v>
      </c>
      <c r="BF53" s="34" t="e">
        <f>AND(#REF!,"AAAAAHde9zk=")</f>
        <v>#REF!</v>
      </c>
      <c r="BG53" s="34" t="e">
        <f>AND(#REF!,"AAAAAHde9zo=")</f>
        <v>#REF!</v>
      </c>
      <c r="BH53" s="34" t="e">
        <f>AND(#REF!,"AAAAAHde9zs=")</f>
        <v>#REF!</v>
      </c>
      <c r="BI53" s="34" t="e">
        <f>AND(#REF!,"AAAAAHde9zw=")</f>
        <v>#REF!</v>
      </c>
      <c r="BJ53" s="34" t="e">
        <f>AND(#REF!,"AAAAAHde9z0=")</f>
        <v>#REF!</v>
      </c>
      <c r="BK53" s="34" t="e">
        <f>AND(#REF!,"AAAAAHde9z4=")</f>
        <v>#REF!</v>
      </c>
      <c r="BL53" s="34" t="e">
        <f>AND(#REF!,"AAAAAHde9z8=")</f>
        <v>#REF!</v>
      </c>
      <c r="BM53" s="34" t="e">
        <f>AND(#REF!,"AAAAAHde90A=")</f>
        <v>#REF!</v>
      </c>
      <c r="BN53" s="34" t="e">
        <f>AND(#REF!,"AAAAAHde90E=")</f>
        <v>#REF!</v>
      </c>
      <c r="BO53" s="34" t="e">
        <f>AND(#REF!,"AAAAAHde90I=")</f>
        <v>#REF!</v>
      </c>
      <c r="BP53" s="34" t="e">
        <f>AND(#REF!,"AAAAAHde90M=")</f>
        <v>#REF!</v>
      </c>
      <c r="BQ53" s="34" t="e">
        <f>AND(#REF!,"AAAAAHde90Q=")</f>
        <v>#REF!</v>
      </c>
      <c r="BR53" s="34" t="e">
        <f>AND(#REF!,"AAAAAHde90U=")</f>
        <v>#REF!</v>
      </c>
      <c r="BS53" s="34" t="e">
        <f>AND(#REF!,"AAAAAHde90Y=")</f>
        <v>#REF!</v>
      </c>
      <c r="BT53" s="34" t="e">
        <f>AND(#REF!,"AAAAAHde90c=")</f>
        <v>#REF!</v>
      </c>
      <c r="BU53" s="34" t="e">
        <f>IF(#REF!,"AAAAAHde90g=",0)</f>
        <v>#REF!</v>
      </c>
      <c r="BV53" s="34" t="e">
        <f>AND(#REF!,"AAAAAHde90k=")</f>
        <v>#REF!</v>
      </c>
      <c r="BW53" s="34" t="e">
        <f>AND(#REF!,"AAAAAHde90o=")</f>
        <v>#REF!</v>
      </c>
      <c r="BX53" s="34" t="e">
        <f>AND(#REF!,"AAAAAHde90s=")</f>
        <v>#REF!</v>
      </c>
      <c r="BY53" s="34" t="e">
        <f>AND(#REF!,"AAAAAHde90w=")</f>
        <v>#REF!</v>
      </c>
      <c r="BZ53" s="34" t="e">
        <f>AND(#REF!,"AAAAAHde900=")</f>
        <v>#REF!</v>
      </c>
      <c r="CA53" s="34" t="e">
        <f>AND(#REF!,"AAAAAHde904=")</f>
        <v>#REF!</v>
      </c>
      <c r="CB53" s="34" t="e">
        <f>AND(#REF!,"AAAAAHde908=")</f>
        <v>#REF!</v>
      </c>
      <c r="CC53" s="34" t="e">
        <f>AND(#REF!,"AAAAAHde91A=")</f>
        <v>#REF!</v>
      </c>
      <c r="CD53" s="34" t="e">
        <f>AND(#REF!,"AAAAAHde91E=")</f>
        <v>#REF!</v>
      </c>
      <c r="CE53" s="34" t="e">
        <f>AND(#REF!,"AAAAAHde91I=")</f>
        <v>#REF!</v>
      </c>
      <c r="CF53" s="34" t="e">
        <f>AND(#REF!,"AAAAAHde91M=")</f>
        <v>#REF!</v>
      </c>
      <c r="CG53" s="34" t="e">
        <f>AND(#REF!,"AAAAAHde91Q=")</f>
        <v>#REF!</v>
      </c>
      <c r="CH53" s="34" t="e">
        <f>AND(#REF!,"AAAAAHde91U=")</f>
        <v>#REF!</v>
      </c>
      <c r="CI53" s="34" t="e">
        <f>AND(#REF!,"AAAAAHde91Y=")</f>
        <v>#REF!</v>
      </c>
      <c r="CJ53" s="34" t="e">
        <f>AND(#REF!,"AAAAAHde91c=")</f>
        <v>#REF!</v>
      </c>
      <c r="CK53" s="34" t="e">
        <f>AND(#REF!,"AAAAAHde91g=")</f>
        <v>#REF!</v>
      </c>
      <c r="CL53" s="34" t="e">
        <f>AND(#REF!,"AAAAAHde91k=")</f>
        <v>#REF!</v>
      </c>
      <c r="CM53" s="34" t="e">
        <f>AND(#REF!,"AAAAAHde91o=")</f>
        <v>#REF!</v>
      </c>
      <c r="CN53" s="34" t="e">
        <f>AND(#REF!,"AAAAAHde91s=")</f>
        <v>#REF!</v>
      </c>
      <c r="CO53" s="34" t="e">
        <f>AND(#REF!,"AAAAAHde91w=")</f>
        <v>#REF!</v>
      </c>
      <c r="CP53" s="34" t="e">
        <f>AND(#REF!,"AAAAAHde910=")</f>
        <v>#REF!</v>
      </c>
      <c r="CQ53" s="34" t="e">
        <f>AND(#REF!,"AAAAAHde914=")</f>
        <v>#REF!</v>
      </c>
      <c r="CR53" s="34" t="e">
        <f>AND(#REF!,"AAAAAHde918=")</f>
        <v>#REF!</v>
      </c>
      <c r="CS53" s="34" t="e">
        <f>AND(#REF!,"AAAAAHde92A=")</f>
        <v>#REF!</v>
      </c>
      <c r="CT53" s="34" t="e">
        <f>AND(#REF!,"AAAAAHde92E=")</f>
        <v>#REF!</v>
      </c>
      <c r="CU53" s="34" t="e">
        <f>AND(#REF!,"AAAAAHde92I=")</f>
        <v>#REF!</v>
      </c>
      <c r="CV53" s="34" t="e">
        <f>AND(#REF!,"AAAAAHde92M=")</f>
        <v>#REF!</v>
      </c>
      <c r="CW53" s="34" t="e">
        <f>AND(#REF!,"AAAAAHde92Q=")</f>
        <v>#REF!</v>
      </c>
      <c r="CX53" s="34" t="e">
        <f>AND(#REF!,"AAAAAHde92U=")</f>
        <v>#REF!</v>
      </c>
      <c r="CY53" s="34" t="e">
        <f>AND(#REF!,"AAAAAHde92Y=")</f>
        <v>#REF!</v>
      </c>
      <c r="CZ53" s="34" t="e">
        <f>AND(#REF!,"AAAAAHde92c=")</f>
        <v>#REF!</v>
      </c>
      <c r="DA53" s="34" t="e">
        <f>AND(#REF!,"AAAAAHde92g=")</f>
        <v>#REF!</v>
      </c>
      <c r="DB53" s="34" t="e">
        <f>AND(#REF!,"AAAAAHde92k=")</f>
        <v>#REF!</v>
      </c>
      <c r="DC53" s="34" t="e">
        <f>AND(#REF!,"AAAAAHde92o=")</f>
        <v>#REF!</v>
      </c>
      <c r="DD53" s="34" t="e">
        <f>AND(#REF!,"AAAAAHde92s=")</f>
        <v>#REF!</v>
      </c>
      <c r="DE53" s="34" t="e">
        <f>AND(#REF!,"AAAAAHde92w=")</f>
        <v>#REF!</v>
      </c>
      <c r="DF53" s="34" t="e">
        <f>AND(#REF!,"AAAAAHde920=")</f>
        <v>#REF!</v>
      </c>
      <c r="DG53" s="34" t="e">
        <f>AND(#REF!,"AAAAAHde924=")</f>
        <v>#REF!</v>
      </c>
      <c r="DH53" s="34" t="e">
        <f>AND(#REF!,"AAAAAHde928=")</f>
        <v>#REF!</v>
      </c>
      <c r="DI53" s="34" t="e">
        <f>AND(#REF!,"AAAAAHde93A=")</f>
        <v>#REF!</v>
      </c>
      <c r="DJ53" s="34" t="e">
        <f>AND(#REF!,"AAAAAHde93E=")</f>
        <v>#REF!</v>
      </c>
      <c r="DK53" s="34" t="e">
        <f>AND(#REF!,"AAAAAHde93I=")</f>
        <v>#REF!</v>
      </c>
      <c r="DL53" s="34" t="e">
        <f>AND(#REF!,"AAAAAHde93M=")</f>
        <v>#REF!</v>
      </c>
      <c r="DM53" s="34" t="e">
        <f>AND(#REF!,"AAAAAHde93Q=")</f>
        <v>#REF!</v>
      </c>
      <c r="DN53" s="34" t="e">
        <f>AND(#REF!,"AAAAAHde93U=")</f>
        <v>#REF!</v>
      </c>
      <c r="DO53" s="34" t="e">
        <f>AND(#REF!,"AAAAAHde93Y=")</f>
        <v>#REF!</v>
      </c>
      <c r="DP53" s="34" t="e">
        <f>AND(#REF!,"AAAAAHde93c=")</f>
        <v>#REF!</v>
      </c>
      <c r="DQ53" s="34" t="e">
        <f>AND(#REF!,"AAAAAHde93g=")</f>
        <v>#REF!</v>
      </c>
      <c r="DR53" s="34" t="e">
        <f>AND(#REF!,"AAAAAHde93k=")</f>
        <v>#REF!</v>
      </c>
      <c r="DS53" s="34" t="e">
        <f>AND(#REF!,"AAAAAHde93o=")</f>
        <v>#REF!</v>
      </c>
      <c r="DT53" s="34" t="e">
        <f>AND(#REF!,"AAAAAHde93s=")</f>
        <v>#REF!</v>
      </c>
      <c r="DU53" s="34" t="e">
        <f>AND(#REF!,"AAAAAHde93w=")</f>
        <v>#REF!</v>
      </c>
      <c r="DV53" s="34" t="e">
        <f>AND(#REF!,"AAAAAHde930=")</f>
        <v>#REF!</v>
      </c>
      <c r="DW53" s="34" t="e">
        <f>AND(#REF!,"AAAAAHde934=")</f>
        <v>#REF!</v>
      </c>
      <c r="DX53" s="34" t="e">
        <f>AND(#REF!,"AAAAAHde938=")</f>
        <v>#REF!</v>
      </c>
      <c r="DY53" s="34" t="e">
        <f>AND(#REF!,"AAAAAHde94A=")</f>
        <v>#REF!</v>
      </c>
      <c r="DZ53" s="34" t="e">
        <f>AND(#REF!,"AAAAAHde94E=")</f>
        <v>#REF!</v>
      </c>
      <c r="EA53" s="34" t="e">
        <f>AND(#REF!,"AAAAAHde94I=")</f>
        <v>#REF!</v>
      </c>
      <c r="EB53" s="34" t="e">
        <f>AND(#REF!,"AAAAAHde94M=")</f>
        <v>#REF!</v>
      </c>
      <c r="EC53" s="34" t="e">
        <f>AND(#REF!,"AAAAAHde94Q=")</f>
        <v>#REF!</v>
      </c>
      <c r="ED53" s="34" t="e">
        <f>AND(#REF!,"AAAAAHde94U=")</f>
        <v>#REF!</v>
      </c>
      <c r="EE53" s="34" t="e">
        <f>AND(#REF!,"AAAAAHde94Y=")</f>
        <v>#REF!</v>
      </c>
      <c r="EF53" s="34" t="e">
        <f>AND(#REF!,"AAAAAHde94c=")</f>
        <v>#REF!</v>
      </c>
      <c r="EG53" s="34" t="e">
        <f>AND(#REF!,"AAAAAHde94g=")</f>
        <v>#REF!</v>
      </c>
      <c r="EH53" s="34" t="e">
        <f>AND(#REF!,"AAAAAHde94k=")</f>
        <v>#REF!</v>
      </c>
      <c r="EI53" s="34" t="e">
        <f>AND(#REF!,"AAAAAHde94o=")</f>
        <v>#REF!</v>
      </c>
      <c r="EJ53" s="34" t="e">
        <f>AND(#REF!,"AAAAAHde94s=")</f>
        <v>#REF!</v>
      </c>
      <c r="EK53" s="34" t="e">
        <f>AND(#REF!,"AAAAAHde94w=")</f>
        <v>#REF!</v>
      </c>
      <c r="EL53" s="34" t="e">
        <f>AND(#REF!,"AAAAAHde940=")</f>
        <v>#REF!</v>
      </c>
      <c r="EM53" s="34" t="e">
        <f>AND(#REF!,"AAAAAHde944=")</f>
        <v>#REF!</v>
      </c>
      <c r="EN53" s="34" t="e">
        <f>AND(#REF!,"AAAAAHde948=")</f>
        <v>#REF!</v>
      </c>
      <c r="EO53" s="34" t="e">
        <f>AND(#REF!,"AAAAAHde95A=")</f>
        <v>#REF!</v>
      </c>
      <c r="EP53" s="34" t="e">
        <f>IF(#REF!,"AAAAAHde95E=",0)</f>
        <v>#REF!</v>
      </c>
      <c r="EQ53" s="34" t="e">
        <f>AND(#REF!,"AAAAAHde95I=")</f>
        <v>#REF!</v>
      </c>
      <c r="ER53" s="34" t="e">
        <f>AND(#REF!,"AAAAAHde95M=")</f>
        <v>#REF!</v>
      </c>
      <c r="ES53" s="34" t="e">
        <f>AND(#REF!,"AAAAAHde95Q=")</f>
        <v>#REF!</v>
      </c>
      <c r="ET53" s="34" t="e">
        <f>AND(#REF!,"AAAAAHde95U=")</f>
        <v>#REF!</v>
      </c>
      <c r="EU53" s="34" t="e">
        <f>AND(#REF!,"AAAAAHde95Y=")</f>
        <v>#REF!</v>
      </c>
      <c r="EV53" s="34" t="e">
        <f>AND(#REF!,"AAAAAHde95c=")</f>
        <v>#REF!</v>
      </c>
      <c r="EW53" s="34" t="e">
        <f>AND(#REF!,"AAAAAHde95g=")</f>
        <v>#REF!</v>
      </c>
      <c r="EX53" s="34" t="e">
        <f>AND(#REF!,"AAAAAHde95k=")</f>
        <v>#REF!</v>
      </c>
      <c r="EY53" s="34" t="e">
        <f>AND(#REF!,"AAAAAHde95o=")</f>
        <v>#REF!</v>
      </c>
      <c r="EZ53" s="34" t="e">
        <f>AND(#REF!,"AAAAAHde95s=")</f>
        <v>#REF!</v>
      </c>
      <c r="FA53" s="34" t="e">
        <f>AND(#REF!,"AAAAAHde95w=")</f>
        <v>#REF!</v>
      </c>
      <c r="FB53" s="34" t="e">
        <f>AND(#REF!,"AAAAAHde950=")</f>
        <v>#REF!</v>
      </c>
      <c r="FC53" s="34" t="e">
        <f>AND(#REF!,"AAAAAHde954=")</f>
        <v>#REF!</v>
      </c>
      <c r="FD53" s="34" t="e">
        <f>AND(#REF!,"AAAAAHde958=")</f>
        <v>#REF!</v>
      </c>
      <c r="FE53" s="34" t="e">
        <f>AND(#REF!,"AAAAAHde96A=")</f>
        <v>#REF!</v>
      </c>
      <c r="FF53" s="34" t="e">
        <f>AND(#REF!,"AAAAAHde96E=")</f>
        <v>#REF!</v>
      </c>
      <c r="FG53" s="34" t="e">
        <f>AND(#REF!,"AAAAAHde96I=")</f>
        <v>#REF!</v>
      </c>
      <c r="FH53" s="34" t="e">
        <f>AND(#REF!,"AAAAAHde96M=")</f>
        <v>#REF!</v>
      </c>
      <c r="FI53" s="34" t="e">
        <f>AND(#REF!,"AAAAAHde96Q=")</f>
        <v>#REF!</v>
      </c>
      <c r="FJ53" s="34" t="e">
        <f>AND(#REF!,"AAAAAHde96U=")</f>
        <v>#REF!</v>
      </c>
      <c r="FK53" s="34" t="e">
        <f>AND(#REF!,"AAAAAHde96Y=")</f>
        <v>#REF!</v>
      </c>
      <c r="FL53" s="34" t="e">
        <f>AND(#REF!,"AAAAAHde96c=")</f>
        <v>#REF!</v>
      </c>
      <c r="FM53" s="34" t="e">
        <f>AND(#REF!,"AAAAAHde96g=")</f>
        <v>#REF!</v>
      </c>
      <c r="FN53" s="34" t="e">
        <f>AND(#REF!,"AAAAAHde96k=")</f>
        <v>#REF!</v>
      </c>
      <c r="FO53" s="34" t="e">
        <f>AND(#REF!,"AAAAAHde96o=")</f>
        <v>#REF!</v>
      </c>
      <c r="FP53" s="34" t="e">
        <f>AND(#REF!,"AAAAAHde96s=")</f>
        <v>#REF!</v>
      </c>
      <c r="FQ53" s="34" t="e">
        <f>AND(#REF!,"AAAAAHde96w=")</f>
        <v>#REF!</v>
      </c>
      <c r="FR53" s="34" t="e">
        <f>AND(#REF!,"AAAAAHde960=")</f>
        <v>#REF!</v>
      </c>
      <c r="FS53" s="34" t="e">
        <f>AND(#REF!,"AAAAAHde964=")</f>
        <v>#REF!</v>
      </c>
      <c r="FT53" s="34" t="e">
        <f>AND(#REF!,"AAAAAHde968=")</f>
        <v>#REF!</v>
      </c>
      <c r="FU53" s="34" t="e">
        <f>AND(#REF!,"AAAAAHde97A=")</f>
        <v>#REF!</v>
      </c>
      <c r="FV53" s="34" t="e">
        <f>AND(#REF!,"AAAAAHde97E=")</f>
        <v>#REF!</v>
      </c>
      <c r="FW53" s="34" t="e">
        <f>AND(#REF!,"AAAAAHde97I=")</f>
        <v>#REF!</v>
      </c>
      <c r="FX53" s="34" t="e">
        <f>AND(#REF!,"AAAAAHde97M=")</f>
        <v>#REF!</v>
      </c>
      <c r="FY53" s="34" t="e">
        <f>AND(#REF!,"AAAAAHde97Q=")</f>
        <v>#REF!</v>
      </c>
      <c r="FZ53" s="34" t="e">
        <f>AND(#REF!,"AAAAAHde97U=")</f>
        <v>#REF!</v>
      </c>
      <c r="GA53" s="34" t="e">
        <f>AND(#REF!,"AAAAAHde97Y=")</f>
        <v>#REF!</v>
      </c>
      <c r="GB53" s="34" t="e">
        <f>AND(#REF!,"AAAAAHde97c=")</f>
        <v>#REF!</v>
      </c>
      <c r="GC53" s="34" t="e">
        <f>AND(#REF!,"AAAAAHde97g=")</f>
        <v>#REF!</v>
      </c>
      <c r="GD53" s="34" t="e">
        <f>AND(#REF!,"AAAAAHde97k=")</f>
        <v>#REF!</v>
      </c>
      <c r="GE53" s="34" t="e">
        <f>AND(#REF!,"AAAAAHde97o=")</f>
        <v>#REF!</v>
      </c>
      <c r="GF53" s="34" t="e">
        <f>AND(#REF!,"AAAAAHde97s=")</f>
        <v>#REF!</v>
      </c>
      <c r="GG53" s="34" t="e">
        <f>AND(#REF!,"AAAAAHde97w=")</f>
        <v>#REF!</v>
      </c>
      <c r="GH53" s="34" t="e">
        <f>AND(#REF!,"AAAAAHde970=")</f>
        <v>#REF!</v>
      </c>
      <c r="GI53" s="34" t="e">
        <f>AND(#REF!,"AAAAAHde974=")</f>
        <v>#REF!</v>
      </c>
      <c r="GJ53" s="34" t="e">
        <f>AND(#REF!,"AAAAAHde978=")</f>
        <v>#REF!</v>
      </c>
      <c r="GK53" s="34" t="e">
        <f>AND(#REF!,"AAAAAHde98A=")</f>
        <v>#REF!</v>
      </c>
      <c r="GL53" s="34" t="e">
        <f>AND(#REF!,"AAAAAHde98E=")</f>
        <v>#REF!</v>
      </c>
      <c r="GM53" s="34" t="e">
        <f>AND(#REF!,"AAAAAHde98I=")</f>
        <v>#REF!</v>
      </c>
      <c r="GN53" s="34" t="e">
        <f>AND(#REF!,"AAAAAHde98M=")</f>
        <v>#REF!</v>
      </c>
      <c r="GO53" s="34" t="e">
        <f>AND(#REF!,"AAAAAHde98Q=")</f>
        <v>#REF!</v>
      </c>
      <c r="GP53" s="34" t="e">
        <f>AND(#REF!,"AAAAAHde98U=")</f>
        <v>#REF!</v>
      </c>
      <c r="GQ53" s="34" t="e">
        <f>AND(#REF!,"AAAAAHde98Y=")</f>
        <v>#REF!</v>
      </c>
      <c r="GR53" s="34" t="e">
        <f>AND(#REF!,"AAAAAHde98c=")</f>
        <v>#REF!</v>
      </c>
      <c r="GS53" s="34" t="e">
        <f>AND(#REF!,"AAAAAHde98g=")</f>
        <v>#REF!</v>
      </c>
      <c r="GT53" s="34" t="e">
        <f>AND(#REF!,"AAAAAHde98k=")</f>
        <v>#REF!</v>
      </c>
      <c r="GU53" s="34" t="e">
        <f>AND(#REF!,"AAAAAHde98o=")</f>
        <v>#REF!</v>
      </c>
      <c r="GV53" s="34" t="e">
        <f>AND(#REF!,"AAAAAHde98s=")</f>
        <v>#REF!</v>
      </c>
      <c r="GW53" s="34" t="e">
        <f>AND(#REF!,"AAAAAHde98w=")</f>
        <v>#REF!</v>
      </c>
      <c r="GX53" s="34" t="e">
        <f>AND(#REF!,"AAAAAHde980=")</f>
        <v>#REF!</v>
      </c>
      <c r="GY53" s="34" t="e">
        <f>AND(#REF!,"AAAAAHde984=")</f>
        <v>#REF!</v>
      </c>
      <c r="GZ53" s="34" t="e">
        <f>AND(#REF!,"AAAAAHde988=")</f>
        <v>#REF!</v>
      </c>
      <c r="HA53" s="34" t="e">
        <f>AND(#REF!,"AAAAAHde99A=")</f>
        <v>#REF!</v>
      </c>
      <c r="HB53" s="34" t="e">
        <f>AND(#REF!,"AAAAAHde99E=")</f>
        <v>#REF!</v>
      </c>
      <c r="HC53" s="34" t="e">
        <f>AND(#REF!,"AAAAAHde99I=")</f>
        <v>#REF!</v>
      </c>
      <c r="HD53" s="34" t="e">
        <f>AND(#REF!,"AAAAAHde99M=")</f>
        <v>#REF!</v>
      </c>
      <c r="HE53" s="34" t="e">
        <f>AND(#REF!,"AAAAAHde99Q=")</f>
        <v>#REF!</v>
      </c>
      <c r="HF53" s="34" t="e">
        <f>AND(#REF!,"AAAAAHde99U=")</f>
        <v>#REF!</v>
      </c>
      <c r="HG53" s="34" t="e">
        <f>AND(#REF!,"AAAAAHde99Y=")</f>
        <v>#REF!</v>
      </c>
      <c r="HH53" s="34" t="e">
        <f>AND(#REF!,"AAAAAHde99c=")</f>
        <v>#REF!</v>
      </c>
      <c r="HI53" s="34" t="e">
        <f>AND(#REF!,"AAAAAHde99g=")</f>
        <v>#REF!</v>
      </c>
      <c r="HJ53" s="34" t="e">
        <f>AND(#REF!,"AAAAAHde99k=")</f>
        <v>#REF!</v>
      </c>
      <c r="HK53" s="34" t="e">
        <f>IF(#REF!,"AAAAAHde99o=",0)</f>
        <v>#REF!</v>
      </c>
      <c r="HL53" s="34" t="e">
        <f>AND(#REF!,"AAAAAHde99s=")</f>
        <v>#REF!</v>
      </c>
      <c r="HM53" s="34" t="e">
        <f>AND(#REF!,"AAAAAHde99w=")</f>
        <v>#REF!</v>
      </c>
      <c r="HN53" s="34" t="e">
        <f>AND(#REF!,"AAAAAHde990=")</f>
        <v>#REF!</v>
      </c>
      <c r="HO53" s="34" t="e">
        <f>AND(#REF!,"AAAAAHde994=")</f>
        <v>#REF!</v>
      </c>
      <c r="HP53" s="34" t="e">
        <f>AND(#REF!,"AAAAAHde998=")</f>
        <v>#REF!</v>
      </c>
      <c r="HQ53" s="34" t="e">
        <f>AND(#REF!,"AAAAAHde9+A=")</f>
        <v>#REF!</v>
      </c>
      <c r="HR53" s="34" t="e">
        <f>AND(#REF!,"AAAAAHde9+E=")</f>
        <v>#REF!</v>
      </c>
      <c r="HS53" s="34" t="e">
        <f>AND(#REF!,"AAAAAHde9+I=")</f>
        <v>#REF!</v>
      </c>
      <c r="HT53" s="34" t="e">
        <f>AND(#REF!,"AAAAAHde9+M=")</f>
        <v>#REF!</v>
      </c>
      <c r="HU53" s="34" t="e">
        <f>AND(#REF!,"AAAAAHde9+Q=")</f>
        <v>#REF!</v>
      </c>
      <c r="HV53" s="34" t="e">
        <f>AND(#REF!,"AAAAAHde9+U=")</f>
        <v>#REF!</v>
      </c>
      <c r="HW53" s="34" t="e">
        <f>AND(#REF!,"AAAAAHde9+Y=")</f>
        <v>#REF!</v>
      </c>
      <c r="HX53" s="34" t="e">
        <f>AND(#REF!,"AAAAAHde9+c=")</f>
        <v>#REF!</v>
      </c>
      <c r="HY53" s="34" t="e">
        <f>AND(#REF!,"AAAAAHde9+g=")</f>
        <v>#REF!</v>
      </c>
      <c r="HZ53" s="34" t="e">
        <f>AND(#REF!,"AAAAAHde9+k=")</f>
        <v>#REF!</v>
      </c>
      <c r="IA53" s="34" t="e">
        <f>AND(#REF!,"AAAAAHde9+o=")</f>
        <v>#REF!</v>
      </c>
      <c r="IB53" s="34" t="e">
        <f>AND(#REF!,"AAAAAHde9+s=")</f>
        <v>#REF!</v>
      </c>
      <c r="IC53" s="34" t="e">
        <f>AND(#REF!,"AAAAAHde9+w=")</f>
        <v>#REF!</v>
      </c>
      <c r="ID53" s="34" t="e">
        <f>AND(#REF!,"AAAAAHde9+0=")</f>
        <v>#REF!</v>
      </c>
      <c r="IE53" s="34" t="e">
        <f>AND(#REF!,"AAAAAHde9+4=")</f>
        <v>#REF!</v>
      </c>
      <c r="IF53" s="34" t="e">
        <f>AND(#REF!,"AAAAAHde9+8=")</f>
        <v>#REF!</v>
      </c>
      <c r="IG53" s="34" t="e">
        <f>AND(#REF!,"AAAAAHde9/A=")</f>
        <v>#REF!</v>
      </c>
      <c r="IH53" s="34" t="e">
        <f>AND(#REF!,"AAAAAHde9/E=")</f>
        <v>#REF!</v>
      </c>
      <c r="II53" s="34" t="e">
        <f>AND(#REF!,"AAAAAHde9/I=")</f>
        <v>#REF!</v>
      </c>
      <c r="IJ53" s="34" t="e">
        <f>AND(#REF!,"AAAAAHde9/M=")</f>
        <v>#REF!</v>
      </c>
      <c r="IK53" s="34" t="e">
        <f>AND(#REF!,"AAAAAHde9/Q=")</f>
        <v>#REF!</v>
      </c>
      <c r="IL53" s="34" t="e">
        <f>AND(#REF!,"AAAAAHde9/U=")</f>
        <v>#REF!</v>
      </c>
      <c r="IM53" s="34" t="e">
        <f>AND(#REF!,"AAAAAHde9/Y=")</f>
        <v>#REF!</v>
      </c>
      <c r="IN53" s="34" t="e">
        <f>AND(#REF!,"AAAAAHde9/c=")</f>
        <v>#REF!</v>
      </c>
      <c r="IO53" s="34" t="e">
        <f>AND(#REF!,"AAAAAHde9/g=")</f>
        <v>#REF!</v>
      </c>
      <c r="IP53" s="34" t="e">
        <f>AND(#REF!,"AAAAAHde9/k=")</f>
        <v>#REF!</v>
      </c>
      <c r="IQ53" s="34" t="e">
        <f>AND(#REF!,"AAAAAHde9/o=")</f>
        <v>#REF!</v>
      </c>
      <c r="IR53" s="34" t="e">
        <f>AND(#REF!,"AAAAAHde9/s=")</f>
        <v>#REF!</v>
      </c>
      <c r="IS53" s="34" t="e">
        <f>AND(#REF!,"AAAAAHde9/w=")</f>
        <v>#REF!</v>
      </c>
      <c r="IT53" s="34" t="e">
        <f>AND(#REF!,"AAAAAHde9/0=")</f>
        <v>#REF!</v>
      </c>
      <c r="IU53" s="34" t="e">
        <f>AND(#REF!,"AAAAAHde9/4=")</f>
        <v>#REF!</v>
      </c>
      <c r="IV53" s="34" t="e">
        <f>AND(#REF!,"AAAAAHde9/8=")</f>
        <v>#REF!</v>
      </c>
    </row>
    <row r="54" spans="1:256" ht="12.75" customHeight="1" x14ac:dyDescent="0.2">
      <c r="A54" s="34" t="e">
        <f>AND(#REF!,"AAAAAF1/uwA=")</f>
        <v>#REF!</v>
      </c>
      <c r="B54" s="34" t="e">
        <f>AND(#REF!,"AAAAAF1/uwE=")</f>
        <v>#REF!</v>
      </c>
      <c r="C54" s="34" t="e">
        <f>AND(#REF!,"AAAAAF1/uwI=")</f>
        <v>#REF!</v>
      </c>
      <c r="D54" s="34" t="e">
        <f>AND(#REF!,"AAAAAF1/uwM=")</f>
        <v>#REF!</v>
      </c>
      <c r="E54" s="34" t="e">
        <f>AND(#REF!,"AAAAAF1/uwQ=")</f>
        <v>#REF!</v>
      </c>
      <c r="F54" s="34" t="e">
        <f>AND(#REF!,"AAAAAF1/uwU=")</f>
        <v>#REF!</v>
      </c>
      <c r="G54" s="34" t="e">
        <f>AND(#REF!,"AAAAAF1/uwY=")</f>
        <v>#REF!</v>
      </c>
      <c r="H54" s="34" t="e">
        <f>AND(#REF!,"AAAAAF1/uwc=")</f>
        <v>#REF!</v>
      </c>
      <c r="I54" s="34" t="e">
        <f>AND(#REF!,"AAAAAF1/uwg=")</f>
        <v>#REF!</v>
      </c>
      <c r="J54" s="34" t="e">
        <f>AND(#REF!,"AAAAAF1/uwk=")</f>
        <v>#REF!</v>
      </c>
      <c r="K54" s="34" t="e">
        <f>AND(#REF!,"AAAAAF1/uwo=")</f>
        <v>#REF!</v>
      </c>
      <c r="L54" s="34" t="e">
        <f>AND(#REF!,"AAAAAF1/uws=")</f>
        <v>#REF!</v>
      </c>
      <c r="M54" s="34" t="e">
        <f>AND(#REF!,"AAAAAF1/uww=")</f>
        <v>#REF!</v>
      </c>
      <c r="N54" s="34" t="e">
        <f>AND(#REF!,"AAAAAF1/uw0=")</f>
        <v>#REF!</v>
      </c>
      <c r="O54" s="34" t="e">
        <f>AND(#REF!,"AAAAAF1/uw4=")</f>
        <v>#REF!</v>
      </c>
      <c r="P54" s="34" t="e">
        <f>AND(#REF!,"AAAAAF1/uw8=")</f>
        <v>#REF!</v>
      </c>
      <c r="Q54" s="34" t="e">
        <f>AND(#REF!,"AAAAAF1/uxA=")</f>
        <v>#REF!</v>
      </c>
      <c r="R54" s="34" t="e">
        <f>AND(#REF!,"AAAAAF1/uxE=")</f>
        <v>#REF!</v>
      </c>
      <c r="S54" s="34" t="e">
        <f>AND(#REF!,"AAAAAF1/uxI=")</f>
        <v>#REF!</v>
      </c>
      <c r="T54" s="34" t="e">
        <f>AND(#REF!,"AAAAAF1/uxM=")</f>
        <v>#REF!</v>
      </c>
      <c r="U54" s="34" t="e">
        <f>AND(#REF!,"AAAAAF1/uxQ=")</f>
        <v>#REF!</v>
      </c>
      <c r="V54" s="34" t="e">
        <f>AND(#REF!,"AAAAAF1/uxU=")</f>
        <v>#REF!</v>
      </c>
      <c r="W54" s="34" t="e">
        <f>AND(#REF!,"AAAAAF1/uxY=")</f>
        <v>#REF!</v>
      </c>
      <c r="X54" s="34" t="e">
        <f>AND(#REF!,"AAAAAF1/uxc=")</f>
        <v>#REF!</v>
      </c>
      <c r="Y54" s="34" t="e">
        <f>AND(#REF!,"AAAAAF1/uxg=")</f>
        <v>#REF!</v>
      </c>
      <c r="Z54" s="34" t="e">
        <f>AND(#REF!,"AAAAAF1/uxk=")</f>
        <v>#REF!</v>
      </c>
      <c r="AA54" s="34" t="e">
        <f>AND(#REF!,"AAAAAF1/uxo=")</f>
        <v>#REF!</v>
      </c>
      <c r="AB54" s="34" t="e">
        <f>AND(#REF!,"AAAAAF1/uxs=")</f>
        <v>#REF!</v>
      </c>
      <c r="AC54" s="34" t="e">
        <f>AND(#REF!,"AAAAAF1/uxw=")</f>
        <v>#REF!</v>
      </c>
      <c r="AD54" s="34" t="e">
        <f>AND(#REF!,"AAAAAF1/ux0=")</f>
        <v>#REF!</v>
      </c>
      <c r="AE54" s="34" t="e">
        <f>AND(#REF!,"AAAAAF1/ux4=")</f>
        <v>#REF!</v>
      </c>
      <c r="AF54" s="34" t="e">
        <f>AND(#REF!,"AAAAAF1/ux8=")</f>
        <v>#REF!</v>
      </c>
      <c r="AG54" s="34" t="e">
        <f>AND(#REF!,"AAAAAF1/uyA=")</f>
        <v>#REF!</v>
      </c>
      <c r="AH54" s="34" t="e">
        <f>AND(#REF!,"AAAAAF1/uyE=")</f>
        <v>#REF!</v>
      </c>
      <c r="AI54" s="34" t="e">
        <f>AND(#REF!,"AAAAAF1/uyI=")</f>
        <v>#REF!</v>
      </c>
      <c r="AJ54" s="34" t="e">
        <f>IF(#REF!,"AAAAAF1/uyM=",0)</f>
        <v>#REF!</v>
      </c>
      <c r="AK54" s="34" t="e">
        <f>AND(#REF!,"AAAAAF1/uyQ=")</f>
        <v>#REF!</v>
      </c>
      <c r="AL54" s="34" t="e">
        <f>AND(#REF!,"AAAAAF1/uyU=")</f>
        <v>#REF!</v>
      </c>
      <c r="AM54" s="34" t="e">
        <f>AND(#REF!,"AAAAAF1/uyY=")</f>
        <v>#REF!</v>
      </c>
      <c r="AN54" s="34" t="e">
        <f>AND(#REF!,"AAAAAF1/uyc=")</f>
        <v>#REF!</v>
      </c>
      <c r="AO54" s="34" t="e">
        <f>AND(#REF!,"AAAAAF1/uyg=")</f>
        <v>#REF!</v>
      </c>
      <c r="AP54" s="34" t="e">
        <f>AND(#REF!,"AAAAAF1/uyk=")</f>
        <v>#REF!</v>
      </c>
      <c r="AQ54" s="34" t="e">
        <f>AND(#REF!,"AAAAAF1/uyo=")</f>
        <v>#REF!</v>
      </c>
      <c r="AR54" s="34" t="e">
        <f>AND(#REF!,"AAAAAF1/uys=")</f>
        <v>#REF!</v>
      </c>
      <c r="AS54" s="34" t="e">
        <f>AND(#REF!,"AAAAAF1/uyw=")</f>
        <v>#REF!</v>
      </c>
      <c r="AT54" s="34" t="e">
        <f>AND(#REF!,"AAAAAF1/uy0=")</f>
        <v>#REF!</v>
      </c>
      <c r="AU54" s="34" t="e">
        <f>AND(#REF!,"AAAAAF1/uy4=")</f>
        <v>#REF!</v>
      </c>
      <c r="AV54" s="34" t="e">
        <f>AND(#REF!,"AAAAAF1/uy8=")</f>
        <v>#REF!</v>
      </c>
      <c r="AW54" s="34" t="e">
        <f>AND(#REF!,"AAAAAF1/uzA=")</f>
        <v>#REF!</v>
      </c>
      <c r="AX54" s="34" t="e">
        <f>AND(#REF!,"AAAAAF1/uzE=")</f>
        <v>#REF!</v>
      </c>
      <c r="AY54" s="34" t="e">
        <f>AND(#REF!,"AAAAAF1/uzI=")</f>
        <v>#REF!</v>
      </c>
      <c r="AZ54" s="34" t="e">
        <f>AND(#REF!,"AAAAAF1/uzM=")</f>
        <v>#REF!</v>
      </c>
      <c r="BA54" s="34" t="e">
        <f>AND(#REF!,"AAAAAF1/uzQ=")</f>
        <v>#REF!</v>
      </c>
      <c r="BB54" s="34" t="e">
        <f>AND(#REF!,"AAAAAF1/uzU=")</f>
        <v>#REF!</v>
      </c>
      <c r="BC54" s="34" t="e">
        <f>AND(#REF!,"AAAAAF1/uzY=")</f>
        <v>#REF!</v>
      </c>
      <c r="BD54" s="34" t="e">
        <f>AND(#REF!,"AAAAAF1/uzc=")</f>
        <v>#REF!</v>
      </c>
      <c r="BE54" s="34" t="e">
        <f>AND(#REF!,"AAAAAF1/uzg=")</f>
        <v>#REF!</v>
      </c>
      <c r="BF54" s="34" t="e">
        <f>AND(#REF!,"AAAAAF1/uzk=")</f>
        <v>#REF!</v>
      </c>
      <c r="BG54" s="34" t="e">
        <f>AND(#REF!,"AAAAAF1/uzo=")</f>
        <v>#REF!</v>
      </c>
      <c r="BH54" s="34" t="e">
        <f>AND(#REF!,"AAAAAF1/uzs=")</f>
        <v>#REF!</v>
      </c>
      <c r="BI54" s="34" t="e">
        <f>AND(#REF!,"AAAAAF1/uzw=")</f>
        <v>#REF!</v>
      </c>
      <c r="BJ54" s="34" t="e">
        <f>AND(#REF!,"AAAAAF1/uz0=")</f>
        <v>#REF!</v>
      </c>
      <c r="BK54" s="34" t="e">
        <f>AND(#REF!,"AAAAAF1/uz4=")</f>
        <v>#REF!</v>
      </c>
      <c r="BL54" s="34" t="e">
        <f>AND(#REF!,"AAAAAF1/uz8=")</f>
        <v>#REF!</v>
      </c>
      <c r="BM54" s="34" t="e">
        <f>AND(#REF!,"AAAAAF1/u0A=")</f>
        <v>#REF!</v>
      </c>
      <c r="BN54" s="34" t="e">
        <f>AND(#REF!,"AAAAAF1/u0E=")</f>
        <v>#REF!</v>
      </c>
      <c r="BO54" s="34" t="e">
        <f>AND(#REF!,"AAAAAF1/u0I=")</f>
        <v>#REF!</v>
      </c>
      <c r="BP54" s="34" t="e">
        <f>AND(#REF!,"AAAAAF1/u0M=")</f>
        <v>#REF!</v>
      </c>
      <c r="BQ54" s="34" t="e">
        <f>AND(#REF!,"AAAAAF1/u0Q=")</f>
        <v>#REF!</v>
      </c>
      <c r="BR54" s="34" t="e">
        <f>AND(#REF!,"AAAAAF1/u0U=")</f>
        <v>#REF!</v>
      </c>
      <c r="BS54" s="34" t="e">
        <f>AND(#REF!,"AAAAAF1/u0Y=")</f>
        <v>#REF!</v>
      </c>
      <c r="BT54" s="34" t="e">
        <f>AND(#REF!,"AAAAAF1/u0c=")</f>
        <v>#REF!</v>
      </c>
      <c r="BU54" s="34" t="e">
        <f>AND(#REF!,"AAAAAF1/u0g=")</f>
        <v>#REF!</v>
      </c>
      <c r="BV54" s="34" t="e">
        <f>AND(#REF!,"AAAAAF1/u0k=")</f>
        <v>#REF!</v>
      </c>
      <c r="BW54" s="34" t="e">
        <f>AND(#REF!,"AAAAAF1/u0o=")</f>
        <v>#REF!</v>
      </c>
      <c r="BX54" s="34" t="e">
        <f>AND(#REF!,"AAAAAF1/u0s=")</f>
        <v>#REF!</v>
      </c>
      <c r="BY54" s="34" t="e">
        <f>AND(#REF!,"AAAAAF1/u0w=")</f>
        <v>#REF!</v>
      </c>
      <c r="BZ54" s="34" t="e">
        <f>AND(#REF!,"AAAAAF1/u00=")</f>
        <v>#REF!</v>
      </c>
      <c r="CA54" s="34" t="e">
        <f>AND(#REF!,"AAAAAF1/u04=")</f>
        <v>#REF!</v>
      </c>
      <c r="CB54" s="34" t="e">
        <f>AND(#REF!,"AAAAAF1/u08=")</f>
        <v>#REF!</v>
      </c>
      <c r="CC54" s="34" t="e">
        <f>AND(#REF!,"AAAAAF1/u1A=")</f>
        <v>#REF!</v>
      </c>
      <c r="CD54" s="34" t="e">
        <f>AND(#REF!,"AAAAAF1/u1E=")</f>
        <v>#REF!</v>
      </c>
      <c r="CE54" s="34" t="e">
        <f>AND(#REF!,"AAAAAF1/u1I=")</f>
        <v>#REF!</v>
      </c>
      <c r="CF54" s="34" t="e">
        <f>AND(#REF!,"AAAAAF1/u1M=")</f>
        <v>#REF!</v>
      </c>
      <c r="CG54" s="34" t="e">
        <f>AND(#REF!,"AAAAAF1/u1Q=")</f>
        <v>#REF!</v>
      </c>
      <c r="CH54" s="34" t="e">
        <f>AND(#REF!,"AAAAAF1/u1U=")</f>
        <v>#REF!</v>
      </c>
      <c r="CI54" s="34" t="e">
        <f>AND(#REF!,"AAAAAF1/u1Y=")</f>
        <v>#REF!</v>
      </c>
      <c r="CJ54" s="34" t="e">
        <f>AND(#REF!,"AAAAAF1/u1c=")</f>
        <v>#REF!</v>
      </c>
      <c r="CK54" s="34" t="e">
        <f>AND(#REF!,"AAAAAF1/u1g=")</f>
        <v>#REF!</v>
      </c>
      <c r="CL54" s="34" t="e">
        <f>AND(#REF!,"AAAAAF1/u1k=")</f>
        <v>#REF!</v>
      </c>
      <c r="CM54" s="34" t="e">
        <f>AND(#REF!,"AAAAAF1/u1o=")</f>
        <v>#REF!</v>
      </c>
      <c r="CN54" s="34" t="e">
        <f>AND(#REF!,"AAAAAF1/u1s=")</f>
        <v>#REF!</v>
      </c>
      <c r="CO54" s="34" t="e">
        <f>AND(#REF!,"AAAAAF1/u1w=")</f>
        <v>#REF!</v>
      </c>
      <c r="CP54" s="34" t="e">
        <f>AND(#REF!,"AAAAAF1/u10=")</f>
        <v>#REF!</v>
      </c>
      <c r="CQ54" s="34" t="e">
        <f>AND(#REF!,"AAAAAF1/u14=")</f>
        <v>#REF!</v>
      </c>
      <c r="CR54" s="34" t="e">
        <f>AND(#REF!,"AAAAAF1/u18=")</f>
        <v>#REF!</v>
      </c>
      <c r="CS54" s="34" t="e">
        <f>AND(#REF!,"AAAAAF1/u2A=")</f>
        <v>#REF!</v>
      </c>
      <c r="CT54" s="34" t="e">
        <f>AND(#REF!,"AAAAAF1/u2E=")</f>
        <v>#REF!</v>
      </c>
      <c r="CU54" s="34" t="e">
        <f>AND(#REF!,"AAAAAF1/u2I=")</f>
        <v>#REF!</v>
      </c>
      <c r="CV54" s="34" t="e">
        <f>AND(#REF!,"AAAAAF1/u2M=")</f>
        <v>#REF!</v>
      </c>
      <c r="CW54" s="34" t="e">
        <f>AND(#REF!,"AAAAAF1/u2Q=")</f>
        <v>#REF!</v>
      </c>
      <c r="CX54" s="34" t="e">
        <f>AND(#REF!,"AAAAAF1/u2U=")</f>
        <v>#REF!</v>
      </c>
      <c r="CY54" s="34" t="e">
        <f>AND(#REF!,"AAAAAF1/u2Y=")</f>
        <v>#REF!</v>
      </c>
      <c r="CZ54" s="34" t="e">
        <f>AND(#REF!,"AAAAAF1/u2c=")</f>
        <v>#REF!</v>
      </c>
      <c r="DA54" s="34" t="e">
        <f>AND(#REF!,"AAAAAF1/u2g=")</f>
        <v>#REF!</v>
      </c>
      <c r="DB54" s="34" t="e">
        <f>AND(#REF!,"AAAAAF1/u2k=")</f>
        <v>#REF!</v>
      </c>
      <c r="DC54" s="34" t="e">
        <f>AND(#REF!,"AAAAAF1/u2o=")</f>
        <v>#REF!</v>
      </c>
      <c r="DD54" s="34" t="e">
        <f>AND(#REF!,"AAAAAF1/u2s=")</f>
        <v>#REF!</v>
      </c>
      <c r="DE54" s="34" t="e">
        <f>IF(#REF!,"AAAAAF1/u2w=",0)</f>
        <v>#REF!</v>
      </c>
      <c r="DF54" s="34" t="e">
        <f>AND(#REF!,"AAAAAF1/u20=")</f>
        <v>#REF!</v>
      </c>
      <c r="DG54" s="34" t="e">
        <f>AND(#REF!,"AAAAAF1/u24=")</f>
        <v>#REF!</v>
      </c>
      <c r="DH54" s="34" t="e">
        <f>AND(#REF!,"AAAAAF1/u28=")</f>
        <v>#REF!</v>
      </c>
      <c r="DI54" s="34" t="e">
        <f>AND(#REF!,"AAAAAF1/u3A=")</f>
        <v>#REF!</v>
      </c>
      <c r="DJ54" s="34" t="e">
        <f>AND(#REF!,"AAAAAF1/u3E=")</f>
        <v>#REF!</v>
      </c>
      <c r="DK54" s="34" t="e">
        <f>AND(#REF!,"AAAAAF1/u3I=")</f>
        <v>#REF!</v>
      </c>
      <c r="DL54" s="34" t="e">
        <f>AND(#REF!,"AAAAAF1/u3M=")</f>
        <v>#REF!</v>
      </c>
      <c r="DM54" s="34" t="e">
        <f>AND(#REF!,"AAAAAF1/u3Q=")</f>
        <v>#REF!</v>
      </c>
      <c r="DN54" s="34" t="e">
        <f>AND(#REF!,"AAAAAF1/u3U=")</f>
        <v>#REF!</v>
      </c>
      <c r="DO54" s="34" t="e">
        <f>AND(#REF!,"AAAAAF1/u3Y=")</f>
        <v>#REF!</v>
      </c>
      <c r="DP54" s="34" t="e">
        <f>AND(#REF!,"AAAAAF1/u3c=")</f>
        <v>#REF!</v>
      </c>
      <c r="DQ54" s="34" t="e">
        <f>AND(#REF!,"AAAAAF1/u3g=")</f>
        <v>#REF!</v>
      </c>
      <c r="DR54" s="34" t="e">
        <f>AND(#REF!,"AAAAAF1/u3k=")</f>
        <v>#REF!</v>
      </c>
      <c r="DS54" s="34" t="e">
        <f>AND(#REF!,"AAAAAF1/u3o=")</f>
        <v>#REF!</v>
      </c>
      <c r="DT54" s="34" t="e">
        <f>AND(#REF!,"AAAAAF1/u3s=")</f>
        <v>#REF!</v>
      </c>
      <c r="DU54" s="34" t="e">
        <f>AND(#REF!,"AAAAAF1/u3w=")</f>
        <v>#REF!</v>
      </c>
      <c r="DV54" s="34" t="e">
        <f>AND(#REF!,"AAAAAF1/u30=")</f>
        <v>#REF!</v>
      </c>
      <c r="DW54" s="34" t="e">
        <f>AND(#REF!,"AAAAAF1/u34=")</f>
        <v>#REF!</v>
      </c>
      <c r="DX54" s="34" t="e">
        <f>AND(#REF!,"AAAAAF1/u38=")</f>
        <v>#REF!</v>
      </c>
      <c r="DY54" s="34" t="e">
        <f>AND(#REF!,"AAAAAF1/u4A=")</f>
        <v>#REF!</v>
      </c>
      <c r="DZ54" s="34" t="e">
        <f>AND(#REF!,"AAAAAF1/u4E=")</f>
        <v>#REF!</v>
      </c>
      <c r="EA54" s="34" t="e">
        <f>AND(#REF!,"AAAAAF1/u4I=")</f>
        <v>#REF!</v>
      </c>
      <c r="EB54" s="34" t="e">
        <f>AND(#REF!,"AAAAAF1/u4M=")</f>
        <v>#REF!</v>
      </c>
      <c r="EC54" s="34" t="e">
        <f>AND(#REF!,"AAAAAF1/u4Q=")</f>
        <v>#REF!</v>
      </c>
      <c r="ED54" s="34" t="e">
        <f>AND(#REF!,"AAAAAF1/u4U=")</f>
        <v>#REF!</v>
      </c>
      <c r="EE54" s="34" t="e">
        <f>AND(#REF!,"AAAAAF1/u4Y=")</f>
        <v>#REF!</v>
      </c>
      <c r="EF54" s="34" t="e">
        <f>AND(#REF!,"AAAAAF1/u4c=")</f>
        <v>#REF!</v>
      </c>
      <c r="EG54" s="34" t="e">
        <f>AND(#REF!,"AAAAAF1/u4g=")</f>
        <v>#REF!</v>
      </c>
      <c r="EH54" s="34" t="e">
        <f>AND(#REF!,"AAAAAF1/u4k=")</f>
        <v>#REF!</v>
      </c>
      <c r="EI54" s="34" t="e">
        <f>AND(#REF!,"AAAAAF1/u4o=")</f>
        <v>#REF!</v>
      </c>
      <c r="EJ54" s="34" t="e">
        <f>AND(#REF!,"AAAAAF1/u4s=")</f>
        <v>#REF!</v>
      </c>
      <c r="EK54" s="34" t="e">
        <f>AND(#REF!,"AAAAAF1/u4w=")</f>
        <v>#REF!</v>
      </c>
      <c r="EL54" s="34" t="e">
        <f>AND(#REF!,"AAAAAF1/u40=")</f>
        <v>#REF!</v>
      </c>
      <c r="EM54" s="34" t="e">
        <f>AND(#REF!,"AAAAAF1/u44=")</f>
        <v>#REF!</v>
      </c>
      <c r="EN54" s="34" t="e">
        <f>AND(#REF!,"AAAAAF1/u48=")</f>
        <v>#REF!</v>
      </c>
      <c r="EO54" s="34" t="e">
        <f>AND(#REF!,"AAAAAF1/u5A=")</f>
        <v>#REF!</v>
      </c>
      <c r="EP54" s="34" t="e">
        <f>AND(#REF!,"AAAAAF1/u5E=")</f>
        <v>#REF!</v>
      </c>
      <c r="EQ54" s="34" t="e">
        <f>AND(#REF!,"AAAAAF1/u5I=")</f>
        <v>#REF!</v>
      </c>
      <c r="ER54" s="34" t="e">
        <f>AND(#REF!,"AAAAAF1/u5M=")</f>
        <v>#REF!</v>
      </c>
      <c r="ES54" s="34" t="e">
        <f>AND(#REF!,"AAAAAF1/u5Q=")</f>
        <v>#REF!</v>
      </c>
      <c r="ET54" s="34" t="e">
        <f>AND(#REF!,"AAAAAF1/u5U=")</f>
        <v>#REF!</v>
      </c>
      <c r="EU54" s="34" t="e">
        <f>AND(#REF!,"AAAAAF1/u5Y=")</f>
        <v>#REF!</v>
      </c>
      <c r="EV54" s="34" t="e">
        <f>AND(#REF!,"AAAAAF1/u5c=")</f>
        <v>#REF!</v>
      </c>
      <c r="EW54" s="34" t="e">
        <f>AND(#REF!,"AAAAAF1/u5g=")</f>
        <v>#REF!</v>
      </c>
      <c r="EX54" s="34" t="e">
        <f>AND(#REF!,"AAAAAF1/u5k=")</f>
        <v>#REF!</v>
      </c>
      <c r="EY54" s="34" t="e">
        <f>AND(#REF!,"AAAAAF1/u5o=")</f>
        <v>#REF!</v>
      </c>
      <c r="EZ54" s="34" t="e">
        <f>AND(#REF!,"AAAAAF1/u5s=")</f>
        <v>#REF!</v>
      </c>
      <c r="FA54" s="34" t="e">
        <f>AND(#REF!,"AAAAAF1/u5w=")</f>
        <v>#REF!</v>
      </c>
      <c r="FB54" s="34" t="e">
        <f>AND(#REF!,"AAAAAF1/u50=")</f>
        <v>#REF!</v>
      </c>
      <c r="FC54" s="34" t="e">
        <f>AND(#REF!,"AAAAAF1/u54=")</f>
        <v>#REF!</v>
      </c>
      <c r="FD54" s="34" t="e">
        <f>AND(#REF!,"AAAAAF1/u58=")</f>
        <v>#REF!</v>
      </c>
      <c r="FE54" s="34" t="e">
        <f>AND(#REF!,"AAAAAF1/u6A=")</f>
        <v>#REF!</v>
      </c>
      <c r="FF54" s="34" t="e">
        <f>AND(#REF!,"AAAAAF1/u6E=")</f>
        <v>#REF!</v>
      </c>
      <c r="FG54" s="34" t="e">
        <f>AND(#REF!,"AAAAAF1/u6I=")</f>
        <v>#REF!</v>
      </c>
      <c r="FH54" s="34" t="e">
        <f>AND(#REF!,"AAAAAF1/u6M=")</f>
        <v>#REF!</v>
      </c>
      <c r="FI54" s="34" t="e">
        <f>AND(#REF!,"AAAAAF1/u6Q=")</f>
        <v>#REF!</v>
      </c>
      <c r="FJ54" s="34" t="e">
        <f>AND(#REF!,"AAAAAF1/u6U=")</f>
        <v>#REF!</v>
      </c>
      <c r="FK54" s="34" t="e">
        <f>AND(#REF!,"AAAAAF1/u6Y=")</f>
        <v>#REF!</v>
      </c>
      <c r="FL54" s="34" t="e">
        <f>AND(#REF!,"AAAAAF1/u6c=")</f>
        <v>#REF!</v>
      </c>
      <c r="FM54" s="34" t="e">
        <f>AND(#REF!,"AAAAAF1/u6g=")</f>
        <v>#REF!</v>
      </c>
      <c r="FN54" s="34" t="e">
        <f>AND(#REF!,"AAAAAF1/u6k=")</f>
        <v>#REF!</v>
      </c>
      <c r="FO54" s="34" t="e">
        <f>AND(#REF!,"AAAAAF1/u6o=")</f>
        <v>#REF!</v>
      </c>
      <c r="FP54" s="34" t="e">
        <f>AND(#REF!,"AAAAAF1/u6s=")</f>
        <v>#REF!</v>
      </c>
      <c r="FQ54" s="34" t="e">
        <f>AND(#REF!,"AAAAAF1/u6w=")</f>
        <v>#REF!</v>
      </c>
      <c r="FR54" s="34" t="e">
        <f>AND(#REF!,"AAAAAF1/u60=")</f>
        <v>#REF!</v>
      </c>
      <c r="FS54" s="34" t="e">
        <f>AND(#REF!,"AAAAAF1/u64=")</f>
        <v>#REF!</v>
      </c>
      <c r="FT54" s="34" t="e">
        <f>AND(#REF!,"AAAAAF1/u68=")</f>
        <v>#REF!</v>
      </c>
      <c r="FU54" s="34" t="e">
        <f>AND(#REF!,"AAAAAF1/u7A=")</f>
        <v>#REF!</v>
      </c>
      <c r="FV54" s="34" t="e">
        <f>AND(#REF!,"AAAAAF1/u7E=")</f>
        <v>#REF!</v>
      </c>
      <c r="FW54" s="34" t="e">
        <f>AND(#REF!,"AAAAAF1/u7I=")</f>
        <v>#REF!</v>
      </c>
      <c r="FX54" s="34" t="e">
        <f>AND(#REF!,"AAAAAF1/u7M=")</f>
        <v>#REF!</v>
      </c>
      <c r="FY54" s="34" t="e">
        <f>AND(#REF!,"AAAAAF1/u7Q=")</f>
        <v>#REF!</v>
      </c>
      <c r="FZ54" s="34" t="e">
        <f>IF(#REF!,"AAAAAF1/u7U=",0)</f>
        <v>#REF!</v>
      </c>
      <c r="GA54" s="34" t="e">
        <f>AND(#REF!,"AAAAAF1/u7Y=")</f>
        <v>#REF!</v>
      </c>
      <c r="GB54" s="34" t="e">
        <f>AND(#REF!,"AAAAAF1/u7c=")</f>
        <v>#REF!</v>
      </c>
      <c r="GC54" s="34" t="e">
        <f>AND(#REF!,"AAAAAF1/u7g=")</f>
        <v>#REF!</v>
      </c>
      <c r="GD54" s="34" t="e">
        <f>AND(#REF!,"AAAAAF1/u7k=")</f>
        <v>#REF!</v>
      </c>
      <c r="GE54" s="34" t="e">
        <f>AND(#REF!,"AAAAAF1/u7o=")</f>
        <v>#REF!</v>
      </c>
      <c r="GF54" s="34" t="e">
        <f>AND(#REF!,"AAAAAF1/u7s=")</f>
        <v>#REF!</v>
      </c>
      <c r="GG54" s="34" t="e">
        <f>AND(#REF!,"AAAAAF1/u7w=")</f>
        <v>#REF!</v>
      </c>
      <c r="GH54" s="34" t="e">
        <f>AND(#REF!,"AAAAAF1/u70=")</f>
        <v>#REF!</v>
      </c>
      <c r="GI54" s="34" t="e">
        <f>AND(#REF!,"AAAAAF1/u74=")</f>
        <v>#REF!</v>
      </c>
      <c r="GJ54" s="34" t="e">
        <f>AND(#REF!,"AAAAAF1/u78=")</f>
        <v>#REF!</v>
      </c>
      <c r="GK54" s="34" t="e">
        <f>AND(#REF!,"AAAAAF1/u8A=")</f>
        <v>#REF!</v>
      </c>
      <c r="GL54" s="34" t="e">
        <f>AND(#REF!,"AAAAAF1/u8E=")</f>
        <v>#REF!</v>
      </c>
      <c r="GM54" s="34" t="e">
        <f>AND(#REF!,"AAAAAF1/u8I=")</f>
        <v>#REF!</v>
      </c>
      <c r="GN54" s="34" t="e">
        <f>AND(#REF!,"AAAAAF1/u8M=")</f>
        <v>#REF!</v>
      </c>
      <c r="GO54" s="34" t="e">
        <f>AND(#REF!,"AAAAAF1/u8Q=")</f>
        <v>#REF!</v>
      </c>
      <c r="GP54" s="34" t="e">
        <f>AND(#REF!,"AAAAAF1/u8U=")</f>
        <v>#REF!</v>
      </c>
      <c r="GQ54" s="34" t="e">
        <f>AND(#REF!,"AAAAAF1/u8Y=")</f>
        <v>#REF!</v>
      </c>
      <c r="GR54" s="34" t="e">
        <f>AND(#REF!,"AAAAAF1/u8c=")</f>
        <v>#REF!</v>
      </c>
      <c r="GS54" s="34" t="e">
        <f>AND(#REF!,"AAAAAF1/u8g=")</f>
        <v>#REF!</v>
      </c>
      <c r="GT54" s="34" t="e">
        <f>AND(#REF!,"AAAAAF1/u8k=")</f>
        <v>#REF!</v>
      </c>
      <c r="GU54" s="34" t="e">
        <f>AND(#REF!,"AAAAAF1/u8o=")</f>
        <v>#REF!</v>
      </c>
      <c r="GV54" s="34" t="e">
        <f>AND(#REF!,"AAAAAF1/u8s=")</f>
        <v>#REF!</v>
      </c>
      <c r="GW54" s="34" t="e">
        <f>AND(#REF!,"AAAAAF1/u8w=")</f>
        <v>#REF!</v>
      </c>
      <c r="GX54" s="34" t="e">
        <f>AND(#REF!,"AAAAAF1/u80=")</f>
        <v>#REF!</v>
      </c>
      <c r="GY54" s="34" t="e">
        <f>AND(#REF!,"AAAAAF1/u84=")</f>
        <v>#REF!</v>
      </c>
      <c r="GZ54" s="34" t="e">
        <f>AND(#REF!,"AAAAAF1/u88=")</f>
        <v>#REF!</v>
      </c>
      <c r="HA54" s="34" t="e">
        <f>AND(#REF!,"AAAAAF1/u9A=")</f>
        <v>#REF!</v>
      </c>
      <c r="HB54" s="34" t="e">
        <f>AND(#REF!,"AAAAAF1/u9E=")</f>
        <v>#REF!</v>
      </c>
      <c r="HC54" s="34" t="e">
        <f>AND(#REF!,"AAAAAF1/u9I=")</f>
        <v>#REF!</v>
      </c>
      <c r="HD54" s="34" t="e">
        <f>AND(#REF!,"AAAAAF1/u9M=")</f>
        <v>#REF!</v>
      </c>
      <c r="HE54" s="34" t="e">
        <f>AND(#REF!,"AAAAAF1/u9Q=")</f>
        <v>#REF!</v>
      </c>
      <c r="HF54" s="34" t="e">
        <f>AND(#REF!,"AAAAAF1/u9U=")</f>
        <v>#REF!</v>
      </c>
      <c r="HG54" s="34" t="e">
        <f>AND(#REF!,"AAAAAF1/u9Y=")</f>
        <v>#REF!</v>
      </c>
      <c r="HH54" s="34" t="e">
        <f>AND(#REF!,"AAAAAF1/u9c=")</f>
        <v>#REF!</v>
      </c>
      <c r="HI54" s="34" t="e">
        <f>AND(#REF!,"AAAAAF1/u9g=")</f>
        <v>#REF!</v>
      </c>
      <c r="HJ54" s="34" t="e">
        <f>AND(#REF!,"AAAAAF1/u9k=")</f>
        <v>#REF!</v>
      </c>
      <c r="HK54" s="34" t="e">
        <f>AND(#REF!,"AAAAAF1/u9o=")</f>
        <v>#REF!</v>
      </c>
      <c r="HL54" s="34" t="e">
        <f>AND(#REF!,"AAAAAF1/u9s=")</f>
        <v>#REF!</v>
      </c>
      <c r="HM54" s="34" t="e">
        <f>AND(#REF!,"AAAAAF1/u9w=")</f>
        <v>#REF!</v>
      </c>
      <c r="HN54" s="34" t="e">
        <f>AND(#REF!,"AAAAAF1/u90=")</f>
        <v>#REF!</v>
      </c>
      <c r="HO54" s="34" t="e">
        <f>AND(#REF!,"AAAAAF1/u94=")</f>
        <v>#REF!</v>
      </c>
      <c r="HP54" s="34" t="e">
        <f>AND(#REF!,"AAAAAF1/u98=")</f>
        <v>#REF!</v>
      </c>
      <c r="HQ54" s="34" t="e">
        <f>AND(#REF!,"AAAAAF1/u+A=")</f>
        <v>#REF!</v>
      </c>
      <c r="HR54" s="34" t="e">
        <f>AND(#REF!,"AAAAAF1/u+E=")</f>
        <v>#REF!</v>
      </c>
      <c r="HS54" s="34" t="e">
        <f>AND(#REF!,"AAAAAF1/u+I=")</f>
        <v>#REF!</v>
      </c>
      <c r="HT54" s="34" t="e">
        <f>AND(#REF!,"AAAAAF1/u+M=")</f>
        <v>#REF!</v>
      </c>
      <c r="HU54" s="34" t="e">
        <f>AND(#REF!,"AAAAAF1/u+Q=")</f>
        <v>#REF!</v>
      </c>
      <c r="HV54" s="34" t="e">
        <f>AND(#REF!,"AAAAAF1/u+U=")</f>
        <v>#REF!</v>
      </c>
      <c r="HW54" s="34" t="e">
        <f>AND(#REF!,"AAAAAF1/u+Y=")</f>
        <v>#REF!</v>
      </c>
      <c r="HX54" s="34" t="e">
        <f>AND(#REF!,"AAAAAF1/u+c=")</f>
        <v>#REF!</v>
      </c>
      <c r="HY54" s="34" t="e">
        <f>AND(#REF!,"AAAAAF1/u+g=")</f>
        <v>#REF!</v>
      </c>
      <c r="HZ54" s="34" t="e">
        <f>AND(#REF!,"AAAAAF1/u+k=")</f>
        <v>#REF!</v>
      </c>
      <c r="IA54" s="34" t="e">
        <f>AND(#REF!,"AAAAAF1/u+o=")</f>
        <v>#REF!</v>
      </c>
      <c r="IB54" s="34" t="e">
        <f>AND(#REF!,"AAAAAF1/u+s=")</f>
        <v>#REF!</v>
      </c>
      <c r="IC54" s="34" t="e">
        <f>AND(#REF!,"AAAAAF1/u+w=")</f>
        <v>#REF!</v>
      </c>
      <c r="ID54" s="34" t="e">
        <f>AND(#REF!,"AAAAAF1/u+0=")</f>
        <v>#REF!</v>
      </c>
      <c r="IE54" s="34" t="e">
        <f>AND(#REF!,"AAAAAF1/u+4=")</f>
        <v>#REF!</v>
      </c>
      <c r="IF54" s="34" t="e">
        <f>AND(#REF!,"AAAAAF1/u+8=")</f>
        <v>#REF!</v>
      </c>
      <c r="IG54" s="34" t="e">
        <f>AND(#REF!,"AAAAAF1/u/A=")</f>
        <v>#REF!</v>
      </c>
      <c r="IH54" s="34" t="e">
        <f>AND(#REF!,"AAAAAF1/u/E=")</f>
        <v>#REF!</v>
      </c>
      <c r="II54" s="34" t="e">
        <f>AND(#REF!,"AAAAAF1/u/I=")</f>
        <v>#REF!</v>
      </c>
      <c r="IJ54" s="34" t="e">
        <f>AND(#REF!,"AAAAAF1/u/M=")</f>
        <v>#REF!</v>
      </c>
      <c r="IK54" s="34" t="e">
        <f>AND(#REF!,"AAAAAF1/u/Q=")</f>
        <v>#REF!</v>
      </c>
      <c r="IL54" s="34" t="e">
        <f>AND(#REF!,"AAAAAF1/u/U=")</f>
        <v>#REF!</v>
      </c>
      <c r="IM54" s="34" t="e">
        <f>AND(#REF!,"AAAAAF1/u/Y=")</f>
        <v>#REF!</v>
      </c>
      <c r="IN54" s="34" t="e">
        <f>AND(#REF!,"AAAAAF1/u/c=")</f>
        <v>#REF!</v>
      </c>
      <c r="IO54" s="34" t="e">
        <f>AND(#REF!,"AAAAAF1/u/g=")</f>
        <v>#REF!</v>
      </c>
      <c r="IP54" s="34" t="e">
        <f>AND(#REF!,"AAAAAF1/u/k=")</f>
        <v>#REF!</v>
      </c>
      <c r="IQ54" s="34" t="e">
        <f>AND(#REF!,"AAAAAF1/u/o=")</f>
        <v>#REF!</v>
      </c>
      <c r="IR54" s="34" t="e">
        <f>AND(#REF!,"AAAAAF1/u/s=")</f>
        <v>#REF!</v>
      </c>
      <c r="IS54" s="34" t="e">
        <f>AND(#REF!,"AAAAAF1/u/w=")</f>
        <v>#REF!</v>
      </c>
      <c r="IT54" s="34" t="e">
        <f>AND(#REF!,"AAAAAF1/u/0=")</f>
        <v>#REF!</v>
      </c>
      <c r="IU54" s="34" t="e">
        <f>IF(#REF!,"AAAAAF1/u/4=",0)</f>
        <v>#REF!</v>
      </c>
      <c r="IV54" s="34" t="e">
        <f>AND(#REF!,"AAAAAF1/u/8=")</f>
        <v>#REF!</v>
      </c>
    </row>
    <row r="55" spans="1:256" ht="12.75" customHeight="1" x14ac:dyDescent="0.2">
      <c r="A55" s="34" t="e">
        <f>AND(#REF!,"AAAAAD//7wA=")</f>
        <v>#REF!</v>
      </c>
      <c r="B55" s="34" t="e">
        <f>AND(#REF!,"AAAAAD//7wE=")</f>
        <v>#REF!</v>
      </c>
      <c r="C55" s="34" t="e">
        <f>AND(#REF!,"AAAAAD//7wI=")</f>
        <v>#REF!</v>
      </c>
      <c r="D55" s="34" t="e">
        <f>AND(#REF!,"AAAAAD//7wM=")</f>
        <v>#REF!</v>
      </c>
      <c r="E55" s="34" t="e">
        <f>AND(#REF!,"AAAAAD//7wQ=")</f>
        <v>#REF!</v>
      </c>
      <c r="F55" s="34" t="e">
        <f>AND(#REF!,"AAAAAD//7wU=")</f>
        <v>#REF!</v>
      </c>
      <c r="G55" s="34" t="e">
        <f>AND(#REF!,"AAAAAD//7wY=")</f>
        <v>#REF!</v>
      </c>
      <c r="H55" s="34" t="e">
        <f>AND(#REF!,"AAAAAD//7wc=")</f>
        <v>#REF!</v>
      </c>
      <c r="I55" s="34" t="e">
        <f>AND(#REF!,"AAAAAD//7wg=")</f>
        <v>#REF!</v>
      </c>
      <c r="J55" s="34" t="e">
        <f>AND(#REF!,"AAAAAD//7wk=")</f>
        <v>#REF!</v>
      </c>
      <c r="K55" s="34" t="e">
        <f>AND(#REF!,"AAAAAD//7wo=")</f>
        <v>#REF!</v>
      </c>
      <c r="L55" s="34" t="e">
        <f>AND(#REF!,"AAAAAD//7ws=")</f>
        <v>#REF!</v>
      </c>
      <c r="M55" s="34" t="e">
        <f>AND(#REF!,"AAAAAD//7ww=")</f>
        <v>#REF!</v>
      </c>
      <c r="N55" s="34" t="e">
        <f>AND(#REF!,"AAAAAD//7w0=")</f>
        <v>#REF!</v>
      </c>
      <c r="O55" s="34" t="e">
        <f>AND(#REF!,"AAAAAD//7w4=")</f>
        <v>#REF!</v>
      </c>
      <c r="P55" s="34" t="e">
        <f>AND(#REF!,"AAAAAD//7w8=")</f>
        <v>#REF!</v>
      </c>
      <c r="Q55" s="34" t="e">
        <f>AND(#REF!,"AAAAAD//7xA=")</f>
        <v>#REF!</v>
      </c>
      <c r="R55" s="34" t="e">
        <f>AND(#REF!,"AAAAAD//7xE=")</f>
        <v>#REF!</v>
      </c>
      <c r="S55" s="34" t="e">
        <f>AND(#REF!,"AAAAAD//7xI=")</f>
        <v>#REF!</v>
      </c>
      <c r="T55" s="34" t="e">
        <f>AND(#REF!,"AAAAAD//7xM=")</f>
        <v>#REF!</v>
      </c>
      <c r="U55" s="34" t="e">
        <f>AND(#REF!,"AAAAAD//7xQ=")</f>
        <v>#REF!</v>
      </c>
      <c r="V55" s="34" t="e">
        <f>AND(#REF!,"AAAAAD//7xU=")</f>
        <v>#REF!</v>
      </c>
      <c r="W55" s="34" t="e">
        <f>AND(#REF!,"AAAAAD//7xY=")</f>
        <v>#REF!</v>
      </c>
      <c r="X55" s="34" t="e">
        <f>AND(#REF!,"AAAAAD//7xc=")</f>
        <v>#REF!</v>
      </c>
      <c r="Y55" s="34" t="e">
        <f>AND(#REF!,"AAAAAD//7xg=")</f>
        <v>#REF!</v>
      </c>
      <c r="Z55" s="34" t="e">
        <f>AND(#REF!,"AAAAAD//7xk=")</f>
        <v>#REF!</v>
      </c>
      <c r="AA55" s="34" t="e">
        <f>AND(#REF!,"AAAAAD//7xo=")</f>
        <v>#REF!</v>
      </c>
      <c r="AB55" s="34" t="e">
        <f>AND(#REF!,"AAAAAD//7xs=")</f>
        <v>#REF!</v>
      </c>
      <c r="AC55" s="34" t="e">
        <f>AND(#REF!,"AAAAAD//7xw=")</f>
        <v>#REF!</v>
      </c>
      <c r="AD55" s="34" t="e">
        <f>AND(#REF!,"AAAAAD//7x0=")</f>
        <v>#REF!</v>
      </c>
      <c r="AE55" s="34" t="e">
        <f>AND(#REF!,"AAAAAD//7x4=")</f>
        <v>#REF!</v>
      </c>
      <c r="AF55" s="34" t="e">
        <f>AND(#REF!,"AAAAAD//7x8=")</f>
        <v>#REF!</v>
      </c>
      <c r="AG55" s="34" t="e">
        <f>AND(#REF!,"AAAAAD//7yA=")</f>
        <v>#REF!</v>
      </c>
      <c r="AH55" s="34" t="e">
        <f>AND(#REF!,"AAAAAD//7yE=")</f>
        <v>#REF!</v>
      </c>
      <c r="AI55" s="34" t="e">
        <f>AND(#REF!,"AAAAAD//7yI=")</f>
        <v>#REF!</v>
      </c>
      <c r="AJ55" s="34" t="e">
        <f>AND(#REF!,"AAAAAD//7yM=")</f>
        <v>#REF!</v>
      </c>
      <c r="AK55" s="34" t="e">
        <f>AND(#REF!,"AAAAAD//7yQ=")</f>
        <v>#REF!</v>
      </c>
      <c r="AL55" s="34" t="e">
        <f>AND(#REF!,"AAAAAD//7yU=")</f>
        <v>#REF!</v>
      </c>
      <c r="AM55" s="34" t="e">
        <f>AND(#REF!,"AAAAAD//7yY=")</f>
        <v>#REF!</v>
      </c>
      <c r="AN55" s="34" t="e">
        <f>AND(#REF!,"AAAAAD//7yc=")</f>
        <v>#REF!</v>
      </c>
      <c r="AO55" s="34" t="e">
        <f>AND(#REF!,"AAAAAD//7yg=")</f>
        <v>#REF!</v>
      </c>
      <c r="AP55" s="34" t="e">
        <f>AND(#REF!,"AAAAAD//7yk=")</f>
        <v>#REF!</v>
      </c>
      <c r="AQ55" s="34" t="e">
        <f>AND(#REF!,"AAAAAD//7yo=")</f>
        <v>#REF!</v>
      </c>
      <c r="AR55" s="34" t="e">
        <f>AND(#REF!,"AAAAAD//7ys=")</f>
        <v>#REF!</v>
      </c>
      <c r="AS55" s="34" t="e">
        <f>AND(#REF!,"AAAAAD//7yw=")</f>
        <v>#REF!</v>
      </c>
      <c r="AT55" s="34" t="e">
        <f>AND(#REF!,"AAAAAD//7y0=")</f>
        <v>#REF!</v>
      </c>
      <c r="AU55" s="34" t="e">
        <f>AND(#REF!,"AAAAAD//7y4=")</f>
        <v>#REF!</v>
      </c>
      <c r="AV55" s="34" t="e">
        <f>AND(#REF!,"AAAAAD//7y8=")</f>
        <v>#REF!</v>
      </c>
      <c r="AW55" s="34" t="e">
        <f>AND(#REF!,"AAAAAD//7zA=")</f>
        <v>#REF!</v>
      </c>
      <c r="AX55" s="34" t="e">
        <f>AND(#REF!,"AAAAAD//7zE=")</f>
        <v>#REF!</v>
      </c>
      <c r="AY55" s="34" t="e">
        <f>AND(#REF!,"AAAAAD//7zI=")</f>
        <v>#REF!</v>
      </c>
      <c r="AZ55" s="34" t="e">
        <f>AND(#REF!,"AAAAAD//7zM=")</f>
        <v>#REF!</v>
      </c>
      <c r="BA55" s="34" t="e">
        <f>AND(#REF!,"AAAAAD//7zQ=")</f>
        <v>#REF!</v>
      </c>
      <c r="BB55" s="34" t="e">
        <f>AND(#REF!,"AAAAAD//7zU=")</f>
        <v>#REF!</v>
      </c>
      <c r="BC55" s="34" t="e">
        <f>AND(#REF!,"AAAAAD//7zY=")</f>
        <v>#REF!</v>
      </c>
      <c r="BD55" s="34" t="e">
        <f>AND(#REF!,"AAAAAD//7zc=")</f>
        <v>#REF!</v>
      </c>
      <c r="BE55" s="34" t="e">
        <f>AND(#REF!,"AAAAAD//7zg=")</f>
        <v>#REF!</v>
      </c>
      <c r="BF55" s="34" t="e">
        <f>AND(#REF!,"AAAAAD//7zk=")</f>
        <v>#REF!</v>
      </c>
      <c r="BG55" s="34" t="e">
        <f>AND(#REF!,"AAAAAD//7zo=")</f>
        <v>#REF!</v>
      </c>
      <c r="BH55" s="34" t="e">
        <f>AND(#REF!,"AAAAAD//7zs=")</f>
        <v>#REF!</v>
      </c>
      <c r="BI55" s="34" t="e">
        <f>AND(#REF!,"AAAAAD//7zw=")</f>
        <v>#REF!</v>
      </c>
      <c r="BJ55" s="34" t="e">
        <f>AND(#REF!,"AAAAAD//7z0=")</f>
        <v>#REF!</v>
      </c>
      <c r="BK55" s="34" t="e">
        <f>AND(#REF!,"AAAAAD//7z4=")</f>
        <v>#REF!</v>
      </c>
      <c r="BL55" s="34" t="e">
        <f>AND(#REF!,"AAAAAD//7z8=")</f>
        <v>#REF!</v>
      </c>
      <c r="BM55" s="34" t="e">
        <f>AND(#REF!,"AAAAAD//70A=")</f>
        <v>#REF!</v>
      </c>
      <c r="BN55" s="34" t="e">
        <f>AND(#REF!,"AAAAAD//70E=")</f>
        <v>#REF!</v>
      </c>
      <c r="BO55" s="34" t="e">
        <f>AND(#REF!,"AAAAAD//70I=")</f>
        <v>#REF!</v>
      </c>
      <c r="BP55" s="34" t="e">
        <f>AND(#REF!,"AAAAAD//70M=")</f>
        <v>#REF!</v>
      </c>
      <c r="BQ55" s="34" t="e">
        <f>AND(#REF!,"AAAAAD//70Q=")</f>
        <v>#REF!</v>
      </c>
      <c r="BR55" s="34" t="e">
        <f>AND(#REF!,"AAAAAD//70U=")</f>
        <v>#REF!</v>
      </c>
      <c r="BS55" s="34" t="e">
        <f>AND(#REF!,"AAAAAD//70Y=")</f>
        <v>#REF!</v>
      </c>
      <c r="BT55" s="34" t="e">
        <f>IF(#REF!,"AAAAAD//70c=",0)</f>
        <v>#REF!</v>
      </c>
      <c r="BU55" s="34" t="e">
        <f>AND(#REF!,"AAAAAD//70g=")</f>
        <v>#REF!</v>
      </c>
      <c r="BV55" s="34" t="e">
        <f>AND(#REF!,"AAAAAD//70k=")</f>
        <v>#REF!</v>
      </c>
      <c r="BW55" s="34" t="e">
        <f>AND(#REF!,"AAAAAD//70o=")</f>
        <v>#REF!</v>
      </c>
      <c r="BX55" s="34" t="e">
        <f>AND(#REF!,"AAAAAD//70s=")</f>
        <v>#REF!</v>
      </c>
      <c r="BY55" s="34" t="e">
        <f>AND(#REF!,"AAAAAD//70w=")</f>
        <v>#REF!</v>
      </c>
      <c r="BZ55" s="34" t="e">
        <f>AND(#REF!,"AAAAAD//700=")</f>
        <v>#REF!</v>
      </c>
      <c r="CA55" s="34" t="e">
        <f>AND(#REF!,"AAAAAD//704=")</f>
        <v>#REF!</v>
      </c>
      <c r="CB55" s="34" t="e">
        <f>AND(#REF!,"AAAAAD//708=")</f>
        <v>#REF!</v>
      </c>
      <c r="CC55" s="34" t="e">
        <f>AND(#REF!,"AAAAAD//71A=")</f>
        <v>#REF!</v>
      </c>
      <c r="CD55" s="34" t="e">
        <f>AND(#REF!,"AAAAAD//71E=")</f>
        <v>#REF!</v>
      </c>
      <c r="CE55" s="34" t="e">
        <f>AND(#REF!,"AAAAAD//71I=")</f>
        <v>#REF!</v>
      </c>
      <c r="CF55" s="34" t="e">
        <f>AND(#REF!,"AAAAAD//71M=")</f>
        <v>#REF!</v>
      </c>
      <c r="CG55" s="34" t="e">
        <f>AND(#REF!,"AAAAAD//71Q=")</f>
        <v>#REF!</v>
      </c>
      <c r="CH55" s="34" t="e">
        <f>AND(#REF!,"AAAAAD//71U=")</f>
        <v>#REF!</v>
      </c>
      <c r="CI55" s="34" t="e">
        <f>AND(#REF!,"AAAAAD//71Y=")</f>
        <v>#REF!</v>
      </c>
      <c r="CJ55" s="34" t="e">
        <f>AND(#REF!,"AAAAAD//71c=")</f>
        <v>#REF!</v>
      </c>
      <c r="CK55" s="34" t="e">
        <f>AND(#REF!,"AAAAAD//71g=")</f>
        <v>#REF!</v>
      </c>
      <c r="CL55" s="34" t="e">
        <f>AND(#REF!,"AAAAAD//71k=")</f>
        <v>#REF!</v>
      </c>
      <c r="CM55" s="34" t="e">
        <f>AND(#REF!,"AAAAAD//71o=")</f>
        <v>#REF!</v>
      </c>
      <c r="CN55" s="34" t="e">
        <f>AND(#REF!,"AAAAAD//71s=")</f>
        <v>#REF!</v>
      </c>
      <c r="CO55" s="34" t="e">
        <f>AND(#REF!,"AAAAAD//71w=")</f>
        <v>#REF!</v>
      </c>
      <c r="CP55" s="34" t="e">
        <f>AND(#REF!,"AAAAAD//710=")</f>
        <v>#REF!</v>
      </c>
      <c r="CQ55" s="34" t="e">
        <f>AND(#REF!,"AAAAAD//714=")</f>
        <v>#REF!</v>
      </c>
      <c r="CR55" s="34" t="e">
        <f>AND(#REF!,"AAAAAD//718=")</f>
        <v>#REF!</v>
      </c>
      <c r="CS55" s="34" t="e">
        <f>AND(#REF!,"AAAAAD//72A=")</f>
        <v>#REF!</v>
      </c>
      <c r="CT55" s="34" t="e">
        <f>AND(#REF!,"AAAAAD//72E=")</f>
        <v>#REF!</v>
      </c>
      <c r="CU55" s="34" t="e">
        <f>AND(#REF!,"AAAAAD//72I=")</f>
        <v>#REF!</v>
      </c>
      <c r="CV55" s="34" t="e">
        <f>AND(#REF!,"AAAAAD//72M=")</f>
        <v>#REF!</v>
      </c>
      <c r="CW55" s="34" t="e">
        <f>AND(#REF!,"AAAAAD//72Q=")</f>
        <v>#REF!</v>
      </c>
      <c r="CX55" s="34" t="e">
        <f>AND(#REF!,"AAAAAD//72U=")</f>
        <v>#REF!</v>
      </c>
      <c r="CY55" s="34" t="e">
        <f>AND(#REF!,"AAAAAD//72Y=")</f>
        <v>#REF!</v>
      </c>
      <c r="CZ55" s="34" t="e">
        <f>AND(#REF!,"AAAAAD//72c=")</f>
        <v>#REF!</v>
      </c>
      <c r="DA55" s="34" t="e">
        <f>AND(#REF!,"AAAAAD//72g=")</f>
        <v>#REF!</v>
      </c>
      <c r="DB55" s="34" t="e">
        <f>AND(#REF!,"AAAAAD//72k=")</f>
        <v>#REF!</v>
      </c>
      <c r="DC55" s="34" t="e">
        <f>AND(#REF!,"AAAAAD//72o=")</f>
        <v>#REF!</v>
      </c>
      <c r="DD55" s="34" t="e">
        <f>AND(#REF!,"AAAAAD//72s=")</f>
        <v>#REF!</v>
      </c>
      <c r="DE55" s="34" t="e">
        <f>AND(#REF!,"AAAAAD//72w=")</f>
        <v>#REF!</v>
      </c>
      <c r="DF55" s="34" t="e">
        <f>AND(#REF!,"AAAAAD//720=")</f>
        <v>#REF!</v>
      </c>
      <c r="DG55" s="34" t="e">
        <f>AND(#REF!,"AAAAAD//724=")</f>
        <v>#REF!</v>
      </c>
      <c r="DH55" s="34" t="e">
        <f>AND(#REF!,"AAAAAD//728=")</f>
        <v>#REF!</v>
      </c>
      <c r="DI55" s="34" t="e">
        <f>AND(#REF!,"AAAAAD//73A=")</f>
        <v>#REF!</v>
      </c>
      <c r="DJ55" s="34" t="e">
        <f>AND(#REF!,"AAAAAD//73E=")</f>
        <v>#REF!</v>
      </c>
      <c r="DK55" s="34" t="e">
        <f>AND(#REF!,"AAAAAD//73I=")</f>
        <v>#REF!</v>
      </c>
      <c r="DL55" s="34" t="e">
        <f>AND(#REF!,"AAAAAD//73M=")</f>
        <v>#REF!</v>
      </c>
      <c r="DM55" s="34" t="e">
        <f>AND(#REF!,"AAAAAD//73Q=")</f>
        <v>#REF!</v>
      </c>
      <c r="DN55" s="34" t="e">
        <f>AND(#REF!,"AAAAAD//73U=")</f>
        <v>#REF!</v>
      </c>
      <c r="DO55" s="34" t="e">
        <f>AND(#REF!,"AAAAAD//73Y=")</f>
        <v>#REF!</v>
      </c>
      <c r="DP55" s="34" t="e">
        <f>AND(#REF!,"AAAAAD//73c=")</f>
        <v>#REF!</v>
      </c>
      <c r="DQ55" s="34" t="e">
        <f>AND(#REF!,"AAAAAD//73g=")</f>
        <v>#REF!</v>
      </c>
      <c r="DR55" s="34" t="e">
        <f>AND(#REF!,"AAAAAD//73k=")</f>
        <v>#REF!</v>
      </c>
      <c r="DS55" s="34" t="e">
        <f>AND(#REF!,"AAAAAD//73o=")</f>
        <v>#REF!</v>
      </c>
      <c r="DT55" s="34" t="e">
        <f>AND(#REF!,"AAAAAD//73s=")</f>
        <v>#REF!</v>
      </c>
      <c r="DU55" s="34" t="e">
        <f>AND(#REF!,"AAAAAD//73w=")</f>
        <v>#REF!</v>
      </c>
      <c r="DV55" s="34" t="e">
        <f>AND(#REF!,"AAAAAD//730=")</f>
        <v>#REF!</v>
      </c>
      <c r="DW55" s="34" t="e">
        <f>AND(#REF!,"AAAAAD//734=")</f>
        <v>#REF!</v>
      </c>
      <c r="DX55" s="34" t="e">
        <f>AND(#REF!,"AAAAAD//738=")</f>
        <v>#REF!</v>
      </c>
      <c r="DY55" s="34" t="e">
        <f>AND(#REF!,"AAAAAD//74A=")</f>
        <v>#REF!</v>
      </c>
      <c r="DZ55" s="34" t="e">
        <f>AND(#REF!,"AAAAAD//74E=")</f>
        <v>#REF!</v>
      </c>
      <c r="EA55" s="34" t="e">
        <f>AND(#REF!,"AAAAAD//74I=")</f>
        <v>#REF!</v>
      </c>
      <c r="EB55" s="34" t="e">
        <f>AND(#REF!,"AAAAAD//74M=")</f>
        <v>#REF!</v>
      </c>
      <c r="EC55" s="34" t="e">
        <f>AND(#REF!,"AAAAAD//74Q=")</f>
        <v>#REF!</v>
      </c>
      <c r="ED55" s="34" t="e">
        <f>AND(#REF!,"AAAAAD//74U=")</f>
        <v>#REF!</v>
      </c>
      <c r="EE55" s="34" t="e">
        <f>AND(#REF!,"AAAAAD//74Y=")</f>
        <v>#REF!</v>
      </c>
      <c r="EF55" s="34" t="e">
        <f>AND(#REF!,"AAAAAD//74c=")</f>
        <v>#REF!</v>
      </c>
      <c r="EG55" s="34" t="e">
        <f>AND(#REF!,"AAAAAD//74g=")</f>
        <v>#REF!</v>
      </c>
      <c r="EH55" s="34" t="e">
        <f>AND(#REF!,"AAAAAD//74k=")</f>
        <v>#REF!</v>
      </c>
      <c r="EI55" s="34" t="e">
        <f>AND(#REF!,"AAAAAD//74o=")</f>
        <v>#REF!</v>
      </c>
      <c r="EJ55" s="34" t="e">
        <f>AND(#REF!,"AAAAAD//74s=")</f>
        <v>#REF!</v>
      </c>
      <c r="EK55" s="34" t="e">
        <f>AND(#REF!,"AAAAAD//74w=")</f>
        <v>#REF!</v>
      </c>
      <c r="EL55" s="34" t="e">
        <f>AND(#REF!,"AAAAAD//740=")</f>
        <v>#REF!</v>
      </c>
      <c r="EM55" s="34" t="e">
        <f>AND(#REF!,"AAAAAD//744=")</f>
        <v>#REF!</v>
      </c>
      <c r="EN55" s="34" t="e">
        <f>AND(#REF!,"AAAAAD//748=")</f>
        <v>#REF!</v>
      </c>
      <c r="EO55" s="34" t="e">
        <f>IF(#REF!,"AAAAAD//75A=",0)</f>
        <v>#REF!</v>
      </c>
      <c r="EP55" s="34" t="e">
        <f>AND(#REF!,"AAAAAD//75E=")</f>
        <v>#REF!</v>
      </c>
      <c r="EQ55" s="34" t="e">
        <f>AND(#REF!,"AAAAAD//75I=")</f>
        <v>#REF!</v>
      </c>
      <c r="ER55" s="34" t="e">
        <f>AND(#REF!,"AAAAAD//75M=")</f>
        <v>#REF!</v>
      </c>
      <c r="ES55" s="34" t="e">
        <f>AND(#REF!,"AAAAAD//75Q=")</f>
        <v>#REF!</v>
      </c>
      <c r="ET55" s="34" t="e">
        <f>AND(#REF!,"AAAAAD//75U=")</f>
        <v>#REF!</v>
      </c>
      <c r="EU55" s="34" t="e">
        <f>AND(#REF!,"AAAAAD//75Y=")</f>
        <v>#REF!</v>
      </c>
      <c r="EV55" s="34" t="e">
        <f>AND(#REF!,"AAAAAD//75c=")</f>
        <v>#REF!</v>
      </c>
      <c r="EW55" s="34" t="e">
        <f>AND(#REF!,"AAAAAD//75g=")</f>
        <v>#REF!</v>
      </c>
      <c r="EX55" s="34" t="e">
        <f>AND(#REF!,"AAAAAD//75k=")</f>
        <v>#REF!</v>
      </c>
      <c r="EY55" s="34" t="e">
        <f>AND(#REF!,"AAAAAD//75o=")</f>
        <v>#REF!</v>
      </c>
      <c r="EZ55" s="34" t="e">
        <f>AND(#REF!,"AAAAAD//75s=")</f>
        <v>#REF!</v>
      </c>
      <c r="FA55" s="34" t="e">
        <f>AND(#REF!,"AAAAAD//75w=")</f>
        <v>#REF!</v>
      </c>
      <c r="FB55" s="34" t="e">
        <f>AND(#REF!,"AAAAAD//750=")</f>
        <v>#REF!</v>
      </c>
      <c r="FC55" s="34" t="e">
        <f>AND(#REF!,"AAAAAD//754=")</f>
        <v>#REF!</v>
      </c>
      <c r="FD55" s="34" t="e">
        <f>AND(#REF!,"AAAAAD//758=")</f>
        <v>#REF!</v>
      </c>
      <c r="FE55" s="34" t="e">
        <f>AND(#REF!,"AAAAAD//76A=")</f>
        <v>#REF!</v>
      </c>
      <c r="FF55" s="34" t="e">
        <f>AND(#REF!,"AAAAAD//76E=")</f>
        <v>#REF!</v>
      </c>
      <c r="FG55" s="34" t="e">
        <f>AND(#REF!,"AAAAAD//76I=")</f>
        <v>#REF!</v>
      </c>
      <c r="FH55" s="34" t="e">
        <f>AND(#REF!,"AAAAAD//76M=")</f>
        <v>#REF!</v>
      </c>
      <c r="FI55" s="34" t="e">
        <f>AND(#REF!,"AAAAAD//76Q=")</f>
        <v>#REF!</v>
      </c>
      <c r="FJ55" s="34" t="e">
        <f>AND(#REF!,"AAAAAD//76U=")</f>
        <v>#REF!</v>
      </c>
      <c r="FK55" s="34" t="e">
        <f>AND(#REF!,"AAAAAD//76Y=")</f>
        <v>#REF!</v>
      </c>
      <c r="FL55" s="34" t="e">
        <f>AND(#REF!,"AAAAAD//76c=")</f>
        <v>#REF!</v>
      </c>
      <c r="FM55" s="34" t="e">
        <f>AND(#REF!,"AAAAAD//76g=")</f>
        <v>#REF!</v>
      </c>
      <c r="FN55" s="34" t="e">
        <f>AND(#REF!,"AAAAAD//76k=")</f>
        <v>#REF!</v>
      </c>
      <c r="FO55" s="34" t="e">
        <f>AND(#REF!,"AAAAAD//76o=")</f>
        <v>#REF!</v>
      </c>
      <c r="FP55" s="34" t="e">
        <f>AND(#REF!,"AAAAAD//76s=")</f>
        <v>#REF!</v>
      </c>
      <c r="FQ55" s="34" t="e">
        <f>AND(#REF!,"AAAAAD//76w=")</f>
        <v>#REF!</v>
      </c>
      <c r="FR55" s="34" t="e">
        <f>AND(#REF!,"AAAAAD//760=")</f>
        <v>#REF!</v>
      </c>
      <c r="FS55" s="34" t="e">
        <f>AND(#REF!,"AAAAAD//764=")</f>
        <v>#REF!</v>
      </c>
      <c r="FT55" s="34" t="e">
        <f>AND(#REF!,"AAAAAD//768=")</f>
        <v>#REF!</v>
      </c>
      <c r="FU55" s="34" t="e">
        <f>AND(#REF!,"AAAAAD//77A=")</f>
        <v>#REF!</v>
      </c>
      <c r="FV55" s="34" t="e">
        <f>AND(#REF!,"AAAAAD//77E=")</f>
        <v>#REF!</v>
      </c>
      <c r="FW55" s="34" t="e">
        <f>AND(#REF!,"AAAAAD//77I=")</f>
        <v>#REF!</v>
      </c>
      <c r="FX55" s="34" t="e">
        <f>AND(#REF!,"AAAAAD//77M=")</f>
        <v>#REF!</v>
      </c>
      <c r="FY55" s="34" t="e">
        <f>AND(#REF!,"AAAAAD//77Q=")</f>
        <v>#REF!</v>
      </c>
      <c r="FZ55" s="34" t="e">
        <f>AND(#REF!,"AAAAAD//77U=")</f>
        <v>#REF!</v>
      </c>
      <c r="GA55" s="34" t="e">
        <f>AND(#REF!,"AAAAAD//77Y=")</f>
        <v>#REF!</v>
      </c>
      <c r="GB55" s="34" t="e">
        <f>AND(#REF!,"AAAAAD//77c=")</f>
        <v>#REF!</v>
      </c>
      <c r="GC55" s="34" t="e">
        <f>AND(#REF!,"AAAAAD//77g=")</f>
        <v>#REF!</v>
      </c>
      <c r="GD55" s="34" t="e">
        <f>AND(#REF!,"AAAAAD//77k=")</f>
        <v>#REF!</v>
      </c>
      <c r="GE55" s="34" t="e">
        <f>AND(#REF!,"AAAAAD//77o=")</f>
        <v>#REF!</v>
      </c>
      <c r="GF55" s="34" t="e">
        <f>AND(#REF!,"AAAAAD//77s=")</f>
        <v>#REF!</v>
      </c>
      <c r="GG55" s="34" t="e">
        <f>AND(#REF!,"AAAAAD//77w=")</f>
        <v>#REF!</v>
      </c>
      <c r="GH55" s="34" t="e">
        <f>AND(#REF!,"AAAAAD//770=")</f>
        <v>#REF!</v>
      </c>
      <c r="GI55" s="34" t="e">
        <f>AND(#REF!,"AAAAAD//774=")</f>
        <v>#REF!</v>
      </c>
      <c r="GJ55" s="34" t="e">
        <f>AND(#REF!,"AAAAAD//778=")</f>
        <v>#REF!</v>
      </c>
      <c r="GK55" s="34" t="e">
        <f>AND(#REF!,"AAAAAD//78A=")</f>
        <v>#REF!</v>
      </c>
      <c r="GL55" s="34" t="e">
        <f>AND(#REF!,"AAAAAD//78E=")</f>
        <v>#REF!</v>
      </c>
      <c r="GM55" s="34" t="e">
        <f>AND(#REF!,"AAAAAD//78I=")</f>
        <v>#REF!</v>
      </c>
      <c r="GN55" s="34" t="e">
        <f>AND(#REF!,"AAAAAD//78M=")</f>
        <v>#REF!</v>
      </c>
      <c r="GO55" s="34" t="e">
        <f>AND(#REF!,"AAAAAD//78Q=")</f>
        <v>#REF!</v>
      </c>
      <c r="GP55" s="34" t="e">
        <f>AND(#REF!,"AAAAAD//78U=")</f>
        <v>#REF!</v>
      </c>
      <c r="GQ55" s="34" t="e">
        <f>AND(#REF!,"AAAAAD//78Y=")</f>
        <v>#REF!</v>
      </c>
      <c r="GR55" s="34" t="e">
        <f>AND(#REF!,"AAAAAD//78c=")</f>
        <v>#REF!</v>
      </c>
      <c r="GS55" s="34" t="e">
        <f>AND(#REF!,"AAAAAD//78g=")</f>
        <v>#REF!</v>
      </c>
      <c r="GT55" s="34" t="e">
        <f>AND(#REF!,"AAAAAD//78k=")</f>
        <v>#REF!</v>
      </c>
      <c r="GU55" s="34" t="e">
        <f>AND(#REF!,"AAAAAD//78o=")</f>
        <v>#REF!</v>
      </c>
      <c r="GV55" s="34" t="e">
        <f>AND(#REF!,"AAAAAD//78s=")</f>
        <v>#REF!</v>
      </c>
      <c r="GW55" s="34" t="e">
        <f>AND(#REF!,"AAAAAD//78w=")</f>
        <v>#REF!</v>
      </c>
      <c r="GX55" s="34" t="e">
        <f>AND(#REF!,"AAAAAD//780=")</f>
        <v>#REF!</v>
      </c>
      <c r="GY55" s="34" t="e">
        <f>AND(#REF!,"AAAAAD//784=")</f>
        <v>#REF!</v>
      </c>
      <c r="GZ55" s="34" t="e">
        <f>AND(#REF!,"AAAAAD//788=")</f>
        <v>#REF!</v>
      </c>
      <c r="HA55" s="34" t="e">
        <f>AND(#REF!,"AAAAAD//79A=")</f>
        <v>#REF!</v>
      </c>
      <c r="HB55" s="34" t="e">
        <f>AND(#REF!,"AAAAAD//79E=")</f>
        <v>#REF!</v>
      </c>
      <c r="HC55" s="34" t="e">
        <f>AND(#REF!,"AAAAAD//79I=")</f>
        <v>#REF!</v>
      </c>
      <c r="HD55" s="34" t="e">
        <f>AND(#REF!,"AAAAAD//79M=")</f>
        <v>#REF!</v>
      </c>
      <c r="HE55" s="34" t="e">
        <f>AND(#REF!,"AAAAAD//79Q=")</f>
        <v>#REF!</v>
      </c>
      <c r="HF55" s="34" t="e">
        <f>AND(#REF!,"AAAAAD//79U=")</f>
        <v>#REF!</v>
      </c>
      <c r="HG55" s="34" t="e">
        <f>AND(#REF!,"AAAAAD//79Y=")</f>
        <v>#REF!</v>
      </c>
      <c r="HH55" s="34" t="e">
        <f>AND(#REF!,"AAAAAD//79c=")</f>
        <v>#REF!</v>
      </c>
      <c r="HI55" s="34" t="e">
        <f>AND(#REF!,"AAAAAD//79g=")</f>
        <v>#REF!</v>
      </c>
      <c r="HJ55" s="34" t="e">
        <f>IF(#REF!,"AAAAAD//79k=",0)</f>
        <v>#REF!</v>
      </c>
      <c r="HK55" s="34" t="e">
        <f>AND(#REF!,"AAAAAD//79o=")</f>
        <v>#REF!</v>
      </c>
      <c r="HL55" s="34" t="e">
        <f>AND(#REF!,"AAAAAD//79s=")</f>
        <v>#REF!</v>
      </c>
      <c r="HM55" s="34" t="e">
        <f>AND(#REF!,"AAAAAD//79w=")</f>
        <v>#REF!</v>
      </c>
      <c r="HN55" s="34" t="e">
        <f>AND(#REF!,"AAAAAD//790=")</f>
        <v>#REF!</v>
      </c>
      <c r="HO55" s="34" t="e">
        <f>AND(#REF!,"AAAAAD//794=")</f>
        <v>#REF!</v>
      </c>
      <c r="HP55" s="34" t="e">
        <f>AND(#REF!,"AAAAAD//798=")</f>
        <v>#REF!</v>
      </c>
      <c r="HQ55" s="34" t="e">
        <f>AND(#REF!,"AAAAAD//7+A=")</f>
        <v>#REF!</v>
      </c>
      <c r="HR55" s="34" t="e">
        <f>AND(#REF!,"AAAAAD//7+E=")</f>
        <v>#REF!</v>
      </c>
      <c r="HS55" s="34" t="e">
        <f>AND(#REF!,"AAAAAD//7+I=")</f>
        <v>#REF!</v>
      </c>
      <c r="HT55" s="34" t="e">
        <f>AND(#REF!,"AAAAAD//7+M=")</f>
        <v>#REF!</v>
      </c>
      <c r="HU55" s="34" t="e">
        <f>AND(#REF!,"AAAAAD//7+Q=")</f>
        <v>#REF!</v>
      </c>
      <c r="HV55" s="34" t="e">
        <f>AND(#REF!,"AAAAAD//7+U=")</f>
        <v>#REF!</v>
      </c>
      <c r="HW55" s="34" t="e">
        <f>AND(#REF!,"AAAAAD//7+Y=")</f>
        <v>#REF!</v>
      </c>
      <c r="HX55" s="34" t="e">
        <f>AND(#REF!,"AAAAAD//7+c=")</f>
        <v>#REF!</v>
      </c>
      <c r="HY55" s="34" t="e">
        <f>AND(#REF!,"AAAAAD//7+g=")</f>
        <v>#REF!</v>
      </c>
      <c r="HZ55" s="34" t="e">
        <f>AND(#REF!,"AAAAAD//7+k=")</f>
        <v>#REF!</v>
      </c>
      <c r="IA55" s="34" t="e">
        <f>AND(#REF!,"AAAAAD//7+o=")</f>
        <v>#REF!</v>
      </c>
      <c r="IB55" s="34" t="e">
        <f>AND(#REF!,"AAAAAD//7+s=")</f>
        <v>#REF!</v>
      </c>
      <c r="IC55" s="34" t="e">
        <f>AND(#REF!,"AAAAAD//7+w=")</f>
        <v>#REF!</v>
      </c>
      <c r="ID55" s="34" t="e">
        <f>AND(#REF!,"AAAAAD//7+0=")</f>
        <v>#REF!</v>
      </c>
      <c r="IE55" s="34" t="e">
        <f>AND(#REF!,"AAAAAD//7+4=")</f>
        <v>#REF!</v>
      </c>
      <c r="IF55" s="34" t="e">
        <f>AND(#REF!,"AAAAAD//7+8=")</f>
        <v>#REF!</v>
      </c>
      <c r="IG55" s="34" t="e">
        <f>AND(#REF!,"AAAAAD//7/A=")</f>
        <v>#REF!</v>
      </c>
      <c r="IH55" s="34" t="e">
        <f>AND(#REF!,"AAAAAD//7/E=")</f>
        <v>#REF!</v>
      </c>
      <c r="II55" s="34" t="e">
        <f>AND(#REF!,"AAAAAD//7/I=")</f>
        <v>#REF!</v>
      </c>
      <c r="IJ55" s="34" t="e">
        <f>AND(#REF!,"AAAAAD//7/M=")</f>
        <v>#REF!</v>
      </c>
      <c r="IK55" s="34" t="e">
        <f>AND(#REF!,"AAAAAD//7/Q=")</f>
        <v>#REF!</v>
      </c>
      <c r="IL55" s="34" t="e">
        <f>AND(#REF!,"AAAAAD//7/U=")</f>
        <v>#REF!</v>
      </c>
      <c r="IM55" s="34" t="e">
        <f>AND(#REF!,"AAAAAD//7/Y=")</f>
        <v>#REF!</v>
      </c>
      <c r="IN55" s="34" t="e">
        <f>AND(#REF!,"AAAAAD//7/c=")</f>
        <v>#REF!</v>
      </c>
      <c r="IO55" s="34" t="e">
        <f>AND(#REF!,"AAAAAD//7/g=")</f>
        <v>#REF!</v>
      </c>
      <c r="IP55" s="34" t="e">
        <f>AND(#REF!,"AAAAAD//7/k=")</f>
        <v>#REF!</v>
      </c>
      <c r="IQ55" s="34" t="e">
        <f>AND(#REF!,"AAAAAD//7/o=")</f>
        <v>#REF!</v>
      </c>
      <c r="IR55" s="34" t="e">
        <f>AND(#REF!,"AAAAAD//7/s=")</f>
        <v>#REF!</v>
      </c>
      <c r="IS55" s="34" t="e">
        <f>AND(#REF!,"AAAAAD//7/w=")</f>
        <v>#REF!</v>
      </c>
      <c r="IT55" s="34" t="e">
        <f>AND(#REF!,"AAAAAD//7/0=")</f>
        <v>#REF!</v>
      </c>
      <c r="IU55" s="34" t="e">
        <f>AND(#REF!,"AAAAAD//7/4=")</f>
        <v>#REF!</v>
      </c>
      <c r="IV55" s="34" t="e">
        <f>AND(#REF!,"AAAAAD//7/8=")</f>
        <v>#REF!</v>
      </c>
    </row>
    <row r="56" spans="1:256" ht="12.75" customHeight="1" x14ac:dyDescent="0.2">
      <c r="A56" s="34" t="e">
        <f>AND(#REF!,"AAAAAHf/5QA=")</f>
        <v>#REF!</v>
      </c>
      <c r="B56" s="34" t="e">
        <f>AND(#REF!,"AAAAAHf/5QE=")</f>
        <v>#REF!</v>
      </c>
      <c r="C56" s="34" t="e">
        <f>AND(#REF!,"AAAAAHf/5QI=")</f>
        <v>#REF!</v>
      </c>
      <c r="D56" s="34" t="e">
        <f>AND(#REF!,"AAAAAHf/5QM=")</f>
        <v>#REF!</v>
      </c>
      <c r="E56" s="34" t="e">
        <f>AND(#REF!,"AAAAAHf/5QQ=")</f>
        <v>#REF!</v>
      </c>
      <c r="F56" s="34" t="e">
        <f>AND(#REF!,"AAAAAHf/5QU=")</f>
        <v>#REF!</v>
      </c>
      <c r="G56" s="34" t="e">
        <f>AND(#REF!,"AAAAAHf/5QY=")</f>
        <v>#REF!</v>
      </c>
      <c r="H56" s="34" t="e">
        <f>AND(#REF!,"AAAAAHf/5Qc=")</f>
        <v>#REF!</v>
      </c>
      <c r="I56" s="34" t="e">
        <f>AND(#REF!,"AAAAAHf/5Qg=")</f>
        <v>#REF!</v>
      </c>
      <c r="J56" s="34" t="e">
        <f>AND(#REF!,"AAAAAHf/5Qk=")</f>
        <v>#REF!</v>
      </c>
      <c r="K56" s="34" t="e">
        <f>AND(#REF!,"AAAAAHf/5Qo=")</f>
        <v>#REF!</v>
      </c>
      <c r="L56" s="34" t="e">
        <f>AND(#REF!,"AAAAAHf/5Qs=")</f>
        <v>#REF!</v>
      </c>
      <c r="M56" s="34" t="e">
        <f>AND(#REF!,"AAAAAHf/5Qw=")</f>
        <v>#REF!</v>
      </c>
      <c r="N56" s="34" t="e">
        <f>AND(#REF!,"AAAAAHf/5Q0=")</f>
        <v>#REF!</v>
      </c>
      <c r="O56" s="34" t="e">
        <f>AND(#REF!,"AAAAAHf/5Q4=")</f>
        <v>#REF!</v>
      </c>
      <c r="P56" s="34" t="e">
        <f>AND(#REF!,"AAAAAHf/5Q8=")</f>
        <v>#REF!</v>
      </c>
      <c r="Q56" s="34" t="e">
        <f>AND(#REF!,"AAAAAHf/5RA=")</f>
        <v>#REF!</v>
      </c>
      <c r="R56" s="34" t="e">
        <f>AND(#REF!,"AAAAAHf/5RE=")</f>
        <v>#REF!</v>
      </c>
      <c r="S56" s="34" t="e">
        <f>AND(#REF!,"AAAAAHf/5RI=")</f>
        <v>#REF!</v>
      </c>
      <c r="T56" s="34" t="e">
        <f>AND(#REF!,"AAAAAHf/5RM=")</f>
        <v>#REF!</v>
      </c>
      <c r="U56" s="34" t="e">
        <f>AND(#REF!,"AAAAAHf/5RQ=")</f>
        <v>#REF!</v>
      </c>
      <c r="V56" s="34" t="e">
        <f>AND(#REF!,"AAAAAHf/5RU=")</f>
        <v>#REF!</v>
      </c>
      <c r="W56" s="34" t="e">
        <f>AND(#REF!,"AAAAAHf/5RY=")</f>
        <v>#REF!</v>
      </c>
      <c r="X56" s="34" t="e">
        <f>AND(#REF!,"AAAAAHf/5Rc=")</f>
        <v>#REF!</v>
      </c>
      <c r="Y56" s="34" t="e">
        <f>AND(#REF!,"AAAAAHf/5Rg=")</f>
        <v>#REF!</v>
      </c>
      <c r="Z56" s="34" t="e">
        <f>AND(#REF!,"AAAAAHf/5Rk=")</f>
        <v>#REF!</v>
      </c>
      <c r="AA56" s="34" t="e">
        <f>AND(#REF!,"AAAAAHf/5Ro=")</f>
        <v>#REF!</v>
      </c>
      <c r="AB56" s="34" t="e">
        <f>AND(#REF!,"AAAAAHf/5Rs=")</f>
        <v>#REF!</v>
      </c>
      <c r="AC56" s="34" t="e">
        <f>AND(#REF!,"AAAAAHf/5Rw=")</f>
        <v>#REF!</v>
      </c>
      <c r="AD56" s="34" t="e">
        <f>AND(#REF!,"AAAAAHf/5R0=")</f>
        <v>#REF!</v>
      </c>
      <c r="AE56" s="34" t="e">
        <f>AND(#REF!,"AAAAAHf/5R4=")</f>
        <v>#REF!</v>
      </c>
      <c r="AF56" s="34" t="e">
        <f>AND(#REF!,"AAAAAHf/5R8=")</f>
        <v>#REF!</v>
      </c>
      <c r="AG56" s="34" t="e">
        <f>AND(#REF!,"AAAAAHf/5SA=")</f>
        <v>#REF!</v>
      </c>
      <c r="AH56" s="34" t="e">
        <f>AND(#REF!,"AAAAAHf/5SE=")</f>
        <v>#REF!</v>
      </c>
      <c r="AI56" s="34" t="e">
        <f>IF(#REF!,"AAAAAHf/5SI=",0)</f>
        <v>#REF!</v>
      </c>
      <c r="AJ56" s="34" t="e">
        <f>AND(#REF!,"AAAAAHf/5SM=")</f>
        <v>#REF!</v>
      </c>
      <c r="AK56" s="34" t="e">
        <f>AND(#REF!,"AAAAAHf/5SQ=")</f>
        <v>#REF!</v>
      </c>
      <c r="AL56" s="34" t="e">
        <f>AND(#REF!,"AAAAAHf/5SU=")</f>
        <v>#REF!</v>
      </c>
      <c r="AM56" s="34" t="e">
        <f>AND(#REF!,"AAAAAHf/5SY=")</f>
        <v>#REF!</v>
      </c>
      <c r="AN56" s="34" t="e">
        <f>AND(#REF!,"AAAAAHf/5Sc=")</f>
        <v>#REF!</v>
      </c>
      <c r="AO56" s="34" t="e">
        <f>AND(#REF!,"AAAAAHf/5Sg=")</f>
        <v>#REF!</v>
      </c>
      <c r="AP56" s="34" t="e">
        <f>AND(#REF!,"AAAAAHf/5Sk=")</f>
        <v>#REF!</v>
      </c>
      <c r="AQ56" s="34" t="e">
        <f>AND(#REF!,"AAAAAHf/5So=")</f>
        <v>#REF!</v>
      </c>
      <c r="AR56" s="34" t="e">
        <f>AND(#REF!,"AAAAAHf/5Ss=")</f>
        <v>#REF!</v>
      </c>
      <c r="AS56" s="34" t="e">
        <f>AND(#REF!,"AAAAAHf/5Sw=")</f>
        <v>#REF!</v>
      </c>
      <c r="AT56" s="34" t="e">
        <f>AND(#REF!,"AAAAAHf/5S0=")</f>
        <v>#REF!</v>
      </c>
      <c r="AU56" s="34" t="e">
        <f>AND(#REF!,"AAAAAHf/5S4=")</f>
        <v>#REF!</v>
      </c>
      <c r="AV56" s="34" t="e">
        <f>AND(#REF!,"AAAAAHf/5S8=")</f>
        <v>#REF!</v>
      </c>
      <c r="AW56" s="34" t="e">
        <f>AND(#REF!,"AAAAAHf/5TA=")</f>
        <v>#REF!</v>
      </c>
      <c r="AX56" s="34" t="e">
        <f>AND(#REF!,"AAAAAHf/5TE=")</f>
        <v>#REF!</v>
      </c>
      <c r="AY56" s="34" t="e">
        <f>AND(#REF!,"AAAAAHf/5TI=")</f>
        <v>#REF!</v>
      </c>
      <c r="AZ56" s="34" t="e">
        <f>AND(#REF!,"AAAAAHf/5TM=")</f>
        <v>#REF!</v>
      </c>
      <c r="BA56" s="34" t="e">
        <f>AND(#REF!,"AAAAAHf/5TQ=")</f>
        <v>#REF!</v>
      </c>
      <c r="BB56" s="34" t="e">
        <f>AND(#REF!,"AAAAAHf/5TU=")</f>
        <v>#REF!</v>
      </c>
      <c r="BC56" s="34" t="e">
        <f>AND(#REF!,"AAAAAHf/5TY=")</f>
        <v>#REF!</v>
      </c>
      <c r="BD56" s="34" t="e">
        <f>AND(#REF!,"AAAAAHf/5Tc=")</f>
        <v>#REF!</v>
      </c>
      <c r="BE56" s="34" t="e">
        <f>AND(#REF!,"AAAAAHf/5Tg=")</f>
        <v>#REF!</v>
      </c>
      <c r="BF56" s="34" t="e">
        <f>AND(#REF!,"AAAAAHf/5Tk=")</f>
        <v>#REF!</v>
      </c>
      <c r="BG56" s="34" t="e">
        <f>AND(#REF!,"AAAAAHf/5To=")</f>
        <v>#REF!</v>
      </c>
      <c r="BH56" s="34" t="e">
        <f>AND(#REF!,"AAAAAHf/5Ts=")</f>
        <v>#REF!</v>
      </c>
      <c r="BI56" s="34" t="e">
        <f>AND(#REF!,"AAAAAHf/5Tw=")</f>
        <v>#REF!</v>
      </c>
      <c r="BJ56" s="34" t="e">
        <f>AND(#REF!,"AAAAAHf/5T0=")</f>
        <v>#REF!</v>
      </c>
      <c r="BK56" s="34" t="e">
        <f>AND(#REF!,"AAAAAHf/5T4=")</f>
        <v>#REF!</v>
      </c>
      <c r="BL56" s="34" t="e">
        <f>AND(#REF!,"AAAAAHf/5T8=")</f>
        <v>#REF!</v>
      </c>
      <c r="BM56" s="34" t="e">
        <f>AND(#REF!,"AAAAAHf/5UA=")</f>
        <v>#REF!</v>
      </c>
      <c r="BN56" s="34" t="e">
        <f>AND(#REF!,"AAAAAHf/5UE=")</f>
        <v>#REF!</v>
      </c>
      <c r="BO56" s="34" t="e">
        <f>AND(#REF!,"AAAAAHf/5UI=")</f>
        <v>#REF!</v>
      </c>
      <c r="BP56" s="34" t="e">
        <f>AND(#REF!,"AAAAAHf/5UM=")</f>
        <v>#REF!</v>
      </c>
      <c r="BQ56" s="34" t="e">
        <f>AND(#REF!,"AAAAAHf/5UQ=")</f>
        <v>#REF!</v>
      </c>
      <c r="BR56" s="34" t="e">
        <f>AND(#REF!,"AAAAAHf/5UU=")</f>
        <v>#REF!</v>
      </c>
      <c r="BS56" s="34" t="e">
        <f>AND(#REF!,"AAAAAHf/5UY=")</f>
        <v>#REF!</v>
      </c>
      <c r="BT56" s="34" t="e">
        <f>AND(#REF!,"AAAAAHf/5Uc=")</f>
        <v>#REF!</v>
      </c>
      <c r="BU56" s="34" t="e">
        <f>AND(#REF!,"AAAAAHf/5Ug=")</f>
        <v>#REF!</v>
      </c>
      <c r="BV56" s="34" t="e">
        <f>AND(#REF!,"AAAAAHf/5Uk=")</f>
        <v>#REF!</v>
      </c>
      <c r="BW56" s="34" t="e">
        <f>AND(#REF!,"AAAAAHf/5Uo=")</f>
        <v>#REF!</v>
      </c>
      <c r="BX56" s="34" t="e">
        <f>AND(#REF!,"AAAAAHf/5Us=")</f>
        <v>#REF!</v>
      </c>
      <c r="BY56" s="34" t="e">
        <f>AND(#REF!,"AAAAAHf/5Uw=")</f>
        <v>#REF!</v>
      </c>
      <c r="BZ56" s="34" t="e">
        <f>AND(#REF!,"AAAAAHf/5U0=")</f>
        <v>#REF!</v>
      </c>
      <c r="CA56" s="34" t="e">
        <f>AND(#REF!,"AAAAAHf/5U4=")</f>
        <v>#REF!</v>
      </c>
      <c r="CB56" s="34" t="e">
        <f>AND(#REF!,"AAAAAHf/5U8=")</f>
        <v>#REF!</v>
      </c>
      <c r="CC56" s="34" t="e">
        <f>AND(#REF!,"AAAAAHf/5VA=")</f>
        <v>#REF!</v>
      </c>
      <c r="CD56" s="34" t="e">
        <f>AND(#REF!,"AAAAAHf/5VE=")</f>
        <v>#REF!</v>
      </c>
      <c r="CE56" s="34" t="e">
        <f>AND(#REF!,"AAAAAHf/5VI=")</f>
        <v>#REF!</v>
      </c>
      <c r="CF56" s="34" t="e">
        <f>AND(#REF!,"AAAAAHf/5VM=")</f>
        <v>#REF!</v>
      </c>
      <c r="CG56" s="34" t="e">
        <f>AND(#REF!,"AAAAAHf/5VQ=")</f>
        <v>#REF!</v>
      </c>
      <c r="CH56" s="34" t="e">
        <f>AND(#REF!,"AAAAAHf/5VU=")</f>
        <v>#REF!</v>
      </c>
      <c r="CI56" s="34" t="e">
        <f>AND(#REF!,"AAAAAHf/5VY=")</f>
        <v>#REF!</v>
      </c>
      <c r="CJ56" s="34" t="e">
        <f>AND(#REF!,"AAAAAHf/5Vc=")</f>
        <v>#REF!</v>
      </c>
      <c r="CK56" s="34" t="e">
        <f>AND(#REF!,"AAAAAHf/5Vg=")</f>
        <v>#REF!</v>
      </c>
      <c r="CL56" s="34" t="e">
        <f>AND(#REF!,"AAAAAHf/5Vk=")</f>
        <v>#REF!</v>
      </c>
      <c r="CM56" s="34" t="e">
        <f>AND(#REF!,"AAAAAHf/5Vo=")</f>
        <v>#REF!</v>
      </c>
      <c r="CN56" s="34" t="e">
        <f>AND(#REF!,"AAAAAHf/5Vs=")</f>
        <v>#REF!</v>
      </c>
      <c r="CO56" s="34" t="e">
        <f>AND(#REF!,"AAAAAHf/5Vw=")</f>
        <v>#REF!</v>
      </c>
      <c r="CP56" s="34" t="e">
        <f>AND(#REF!,"AAAAAHf/5V0=")</f>
        <v>#REF!</v>
      </c>
      <c r="CQ56" s="34" t="e">
        <f>AND(#REF!,"AAAAAHf/5V4=")</f>
        <v>#REF!</v>
      </c>
      <c r="CR56" s="34" t="e">
        <f>AND(#REF!,"AAAAAHf/5V8=")</f>
        <v>#REF!</v>
      </c>
      <c r="CS56" s="34" t="e">
        <f>AND(#REF!,"AAAAAHf/5WA=")</f>
        <v>#REF!</v>
      </c>
      <c r="CT56" s="34" t="e">
        <f>AND(#REF!,"AAAAAHf/5WE=")</f>
        <v>#REF!</v>
      </c>
      <c r="CU56" s="34" t="e">
        <f>AND(#REF!,"AAAAAHf/5WI=")</f>
        <v>#REF!</v>
      </c>
      <c r="CV56" s="34" t="e">
        <f>AND(#REF!,"AAAAAHf/5WM=")</f>
        <v>#REF!</v>
      </c>
      <c r="CW56" s="34" t="e">
        <f>AND(#REF!,"AAAAAHf/5WQ=")</f>
        <v>#REF!</v>
      </c>
      <c r="CX56" s="34" t="e">
        <f>AND(#REF!,"AAAAAHf/5WU=")</f>
        <v>#REF!</v>
      </c>
      <c r="CY56" s="34" t="e">
        <f>AND(#REF!,"AAAAAHf/5WY=")</f>
        <v>#REF!</v>
      </c>
      <c r="CZ56" s="34" t="e">
        <f>AND(#REF!,"AAAAAHf/5Wc=")</f>
        <v>#REF!</v>
      </c>
      <c r="DA56" s="34" t="e">
        <f>AND(#REF!,"AAAAAHf/5Wg=")</f>
        <v>#REF!</v>
      </c>
      <c r="DB56" s="34" t="e">
        <f>AND(#REF!,"AAAAAHf/5Wk=")</f>
        <v>#REF!</v>
      </c>
      <c r="DC56" s="34" t="e">
        <f>AND(#REF!,"AAAAAHf/5Wo=")</f>
        <v>#REF!</v>
      </c>
      <c r="DD56" s="34" t="e">
        <f>IF(#REF!,"AAAAAHf/5Ws=",0)</f>
        <v>#REF!</v>
      </c>
      <c r="DE56" s="34" t="e">
        <f>AND(#REF!,"AAAAAHf/5Ww=")</f>
        <v>#REF!</v>
      </c>
      <c r="DF56" s="34" t="e">
        <f>AND(#REF!,"AAAAAHf/5W0=")</f>
        <v>#REF!</v>
      </c>
      <c r="DG56" s="34" t="e">
        <f>AND(#REF!,"AAAAAHf/5W4=")</f>
        <v>#REF!</v>
      </c>
      <c r="DH56" s="34" t="e">
        <f>AND(#REF!,"AAAAAHf/5W8=")</f>
        <v>#REF!</v>
      </c>
      <c r="DI56" s="34" t="e">
        <f>AND(#REF!,"AAAAAHf/5XA=")</f>
        <v>#REF!</v>
      </c>
      <c r="DJ56" s="34" t="e">
        <f>AND(#REF!,"AAAAAHf/5XE=")</f>
        <v>#REF!</v>
      </c>
      <c r="DK56" s="34" t="e">
        <f>AND(#REF!,"AAAAAHf/5XI=")</f>
        <v>#REF!</v>
      </c>
      <c r="DL56" s="34" t="e">
        <f>AND(#REF!,"AAAAAHf/5XM=")</f>
        <v>#REF!</v>
      </c>
      <c r="DM56" s="34" t="e">
        <f>AND(#REF!,"AAAAAHf/5XQ=")</f>
        <v>#REF!</v>
      </c>
      <c r="DN56" s="34" t="e">
        <f>AND(#REF!,"AAAAAHf/5XU=")</f>
        <v>#REF!</v>
      </c>
      <c r="DO56" s="34" t="e">
        <f>AND(#REF!,"AAAAAHf/5XY=")</f>
        <v>#REF!</v>
      </c>
      <c r="DP56" s="34" t="e">
        <f>AND(#REF!,"AAAAAHf/5Xc=")</f>
        <v>#REF!</v>
      </c>
      <c r="DQ56" s="34" t="e">
        <f>AND(#REF!,"AAAAAHf/5Xg=")</f>
        <v>#REF!</v>
      </c>
      <c r="DR56" s="34" t="e">
        <f>AND(#REF!,"AAAAAHf/5Xk=")</f>
        <v>#REF!</v>
      </c>
      <c r="DS56" s="34" t="e">
        <f>AND(#REF!,"AAAAAHf/5Xo=")</f>
        <v>#REF!</v>
      </c>
      <c r="DT56" s="34" t="e">
        <f>AND(#REF!,"AAAAAHf/5Xs=")</f>
        <v>#REF!</v>
      </c>
      <c r="DU56" s="34" t="e">
        <f>AND(#REF!,"AAAAAHf/5Xw=")</f>
        <v>#REF!</v>
      </c>
      <c r="DV56" s="34" t="e">
        <f>AND(#REF!,"AAAAAHf/5X0=")</f>
        <v>#REF!</v>
      </c>
      <c r="DW56" s="34" t="e">
        <f>AND(#REF!,"AAAAAHf/5X4=")</f>
        <v>#REF!</v>
      </c>
      <c r="DX56" s="34" t="e">
        <f>AND(#REF!,"AAAAAHf/5X8=")</f>
        <v>#REF!</v>
      </c>
      <c r="DY56" s="34" t="e">
        <f>AND(#REF!,"AAAAAHf/5YA=")</f>
        <v>#REF!</v>
      </c>
      <c r="DZ56" s="34" t="e">
        <f>AND(#REF!,"AAAAAHf/5YE=")</f>
        <v>#REF!</v>
      </c>
      <c r="EA56" s="34" t="e">
        <f>AND(#REF!,"AAAAAHf/5YI=")</f>
        <v>#REF!</v>
      </c>
      <c r="EB56" s="34" t="e">
        <f>AND(#REF!,"AAAAAHf/5YM=")</f>
        <v>#REF!</v>
      </c>
      <c r="EC56" s="34" t="e">
        <f>AND(#REF!,"AAAAAHf/5YQ=")</f>
        <v>#REF!</v>
      </c>
      <c r="ED56" s="34" t="e">
        <f>AND(#REF!,"AAAAAHf/5YU=")</f>
        <v>#REF!</v>
      </c>
      <c r="EE56" s="34" t="e">
        <f>AND(#REF!,"AAAAAHf/5YY=")</f>
        <v>#REF!</v>
      </c>
      <c r="EF56" s="34" t="e">
        <f>AND(#REF!,"AAAAAHf/5Yc=")</f>
        <v>#REF!</v>
      </c>
      <c r="EG56" s="34" t="e">
        <f>AND(#REF!,"AAAAAHf/5Yg=")</f>
        <v>#REF!</v>
      </c>
      <c r="EH56" s="34" t="e">
        <f>AND(#REF!,"AAAAAHf/5Yk=")</f>
        <v>#REF!</v>
      </c>
      <c r="EI56" s="34" t="e">
        <f>AND(#REF!,"AAAAAHf/5Yo=")</f>
        <v>#REF!</v>
      </c>
      <c r="EJ56" s="34" t="e">
        <f>AND(#REF!,"AAAAAHf/5Ys=")</f>
        <v>#REF!</v>
      </c>
      <c r="EK56" s="34" t="e">
        <f>AND(#REF!,"AAAAAHf/5Yw=")</f>
        <v>#REF!</v>
      </c>
      <c r="EL56" s="34" t="e">
        <f>AND(#REF!,"AAAAAHf/5Y0=")</f>
        <v>#REF!</v>
      </c>
      <c r="EM56" s="34" t="e">
        <f>AND(#REF!,"AAAAAHf/5Y4=")</f>
        <v>#REF!</v>
      </c>
      <c r="EN56" s="34" t="e">
        <f>AND(#REF!,"AAAAAHf/5Y8=")</f>
        <v>#REF!</v>
      </c>
      <c r="EO56" s="34" t="e">
        <f>AND(#REF!,"AAAAAHf/5ZA=")</f>
        <v>#REF!</v>
      </c>
      <c r="EP56" s="34" t="e">
        <f>AND(#REF!,"AAAAAHf/5ZE=")</f>
        <v>#REF!</v>
      </c>
      <c r="EQ56" s="34" t="e">
        <f>AND(#REF!,"AAAAAHf/5ZI=")</f>
        <v>#REF!</v>
      </c>
      <c r="ER56" s="34" t="e">
        <f>AND(#REF!,"AAAAAHf/5ZM=")</f>
        <v>#REF!</v>
      </c>
      <c r="ES56" s="34" t="e">
        <f>AND(#REF!,"AAAAAHf/5ZQ=")</f>
        <v>#REF!</v>
      </c>
      <c r="ET56" s="34" t="e">
        <f>AND(#REF!,"AAAAAHf/5ZU=")</f>
        <v>#REF!</v>
      </c>
      <c r="EU56" s="34" t="e">
        <f>AND(#REF!,"AAAAAHf/5ZY=")</f>
        <v>#REF!</v>
      </c>
      <c r="EV56" s="34" t="e">
        <f>AND(#REF!,"AAAAAHf/5Zc=")</f>
        <v>#REF!</v>
      </c>
      <c r="EW56" s="34" t="e">
        <f>AND(#REF!,"AAAAAHf/5Zg=")</f>
        <v>#REF!</v>
      </c>
      <c r="EX56" s="34" t="e">
        <f>AND(#REF!,"AAAAAHf/5Zk=")</f>
        <v>#REF!</v>
      </c>
      <c r="EY56" s="34" t="e">
        <f>AND(#REF!,"AAAAAHf/5Zo=")</f>
        <v>#REF!</v>
      </c>
      <c r="EZ56" s="34" t="e">
        <f>AND(#REF!,"AAAAAHf/5Zs=")</f>
        <v>#REF!</v>
      </c>
      <c r="FA56" s="34" t="e">
        <f>AND(#REF!,"AAAAAHf/5Zw=")</f>
        <v>#REF!</v>
      </c>
      <c r="FB56" s="34" t="e">
        <f>AND(#REF!,"AAAAAHf/5Z0=")</f>
        <v>#REF!</v>
      </c>
      <c r="FC56" s="34" t="e">
        <f>AND(#REF!,"AAAAAHf/5Z4=")</f>
        <v>#REF!</v>
      </c>
      <c r="FD56" s="34" t="e">
        <f>AND(#REF!,"AAAAAHf/5Z8=")</f>
        <v>#REF!</v>
      </c>
      <c r="FE56" s="34" t="e">
        <f>AND(#REF!,"AAAAAHf/5aA=")</f>
        <v>#REF!</v>
      </c>
      <c r="FF56" s="34" t="e">
        <f>AND(#REF!,"AAAAAHf/5aE=")</f>
        <v>#REF!</v>
      </c>
      <c r="FG56" s="34" t="e">
        <f>AND(#REF!,"AAAAAHf/5aI=")</f>
        <v>#REF!</v>
      </c>
      <c r="FH56" s="34" t="e">
        <f>AND(#REF!,"AAAAAHf/5aM=")</f>
        <v>#REF!</v>
      </c>
      <c r="FI56" s="34" t="e">
        <f>AND(#REF!,"AAAAAHf/5aQ=")</f>
        <v>#REF!</v>
      </c>
      <c r="FJ56" s="34" t="e">
        <f>AND(#REF!,"AAAAAHf/5aU=")</f>
        <v>#REF!</v>
      </c>
      <c r="FK56" s="34" t="e">
        <f>AND(#REF!,"AAAAAHf/5aY=")</f>
        <v>#REF!</v>
      </c>
      <c r="FL56" s="34" t="e">
        <f>AND(#REF!,"AAAAAHf/5ac=")</f>
        <v>#REF!</v>
      </c>
      <c r="FM56" s="34" t="e">
        <f>AND(#REF!,"AAAAAHf/5ag=")</f>
        <v>#REF!</v>
      </c>
      <c r="FN56" s="34" t="e">
        <f>AND(#REF!,"AAAAAHf/5ak=")</f>
        <v>#REF!</v>
      </c>
      <c r="FO56" s="34" t="e">
        <f>AND(#REF!,"AAAAAHf/5ao=")</f>
        <v>#REF!</v>
      </c>
      <c r="FP56" s="34" t="e">
        <f>AND(#REF!,"AAAAAHf/5as=")</f>
        <v>#REF!</v>
      </c>
      <c r="FQ56" s="34" t="e">
        <f>AND(#REF!,"AAAAAHf/5aw=")</f>
        <v>#REF!</v>
      </c>
      <c r="FR56" s="34" t="e">
        <f>AND(#REF!,"AAAAAHf/5a0=")</f>
        <v>#REF!</v>
      </c>
      <c r="FS56" s="34" t="e">
        <f>AND(#REF!,"AAAAAHf/5a4=")</f>
        <v>#REF!</v>
      </c>
      <c r="FT56" s="34" t="e">
        <f>AND(#REF!,"AAAAAHf/5a8=")</f>
        <v>#REF!</v>
      </c>
      <c r="FU56" s="34" t="e">
        <f>AND(#REF!,"AAAAAHf/5bA=")</f>
        <v>#REF!</v>
      </c>
      <c r="FV56" s="34" t="e">
        <f>AND(#REF!,"AAAAAHf/5bE=")</f>
        <v>#REF!</v>
      </c>
      <c r="FW56" s="34" t="e">
        <f>AND(#REF!,"AAAAAHf/5bI=")</f>
        <v>#REF!</v>
      </c>
      <c r="FX56" s="34" t="e">
        <f>AND(#REF!,"AAAAAHf/5bM=")</f>
        <v>#REF!</v>
      </c>
      <c r="FY56" s="34" t="e">
        <f>IF(#REF!,"AAAAAHf/5bQ=",0)</f>
        <v>#REF!</v>
      </c>
      <c r="FZ56" s="34" t="e">
        <f>AND(#REF!,"AAAAAHf/5bU=")</f>
        <v>#REF!</v>
      </c>
      <c r="GA56" s="34" t="e">
        <f>AND(#REF!,"AAAAAHf/5bY=")</f>
        <v>#REF!</v>
      </c>
      <c r="GB56" s="34" t="e">
        <f>AND(#REF!,"AAAAAHf/5bc=")</f>
        <v>#REF!</v>
      </c>
      <c r="GC56" s="34" t="e">
        <f>AND(#REF!,"AAAAAHf/5bg=")</f>
        <v>#REF!</v>
      </c>
      <c r="GD56" s="34" t="e">
        <f>AND(#REF!,"AAAAAHf/5bk=")</f>
        <v>#REF!</v>
      </c>
      <c r="GE56" s="34" t="e">
        <f>AND(#REF!,"AAAAAHf/5bo=")</f>
        <v>#REF!</v>
      </c>
      <c r="GF56" s="34" t="e">
        <f>AND(#REF!,"AAAAAHf/5bs=")</f>
        <v>#REF!</v>
      </c>
      <c r="GG56" s="34" t="e">
        <f>AND(#REF!,"AAAAAHf/5bw=")</f>
        <v>#REF!</v>
      </c>
      <c r="GH56" s="34" t="e">
        <f>AND(#REF!,"AAAAAHf/5b0=")</f>
        <v>#REF!</v>
      </c>
      <c r="GI56" s="34" t="e">
        <f>AND(#REF!,"AAAAAHf/5b4=")</f>
        <v>#REF!</v>
      </c>
      <c r="GJ56" s="34" t="e">
        <f>AND(#REF!,"AAAAAHf/5b8=")</f>
        <v>#REF!</v>
      </c>
      <c r="GK56" s="34" t="e">
        <f>AND(#REF!,"AAAAAHf/5cA=")</f>
        <v>#REF!</v>
      </c>
      <c r="GL56" s="34" t="e">
        <f>AND(#REF!,"AAAAAHf/5cE=")</f>
        <v>#REF!</v>
      </c>
      <c r="GM56" s="34" t="e">
        <f>AND(#REF!,"AAAAAHf/5cI=")</f>
        <v>#REF!</v>
      </c>
      <c r="GN56" s="34" t="e">
        <f>AND(#REF!,"AAAAAHf/5cM=")</f>
        <v>#REF!</v>
      </c>
      <c r="GO56" s="34" t="e">
        <f>AND(#REF!,"AAAAAHf/5cQ=")</f>
        <v>#REF!</v>
      </c>
      <c r="GP56" s="34" t="e">
        <f>AND(#REF!,"AAAAAHf/5cU=")</f>
        <v>#REF!</v>
      </c>
      <c r="GQ56" s="34" t="e">
        <f>AND(#REF!,"AAAAAHf/5cY=")</f>
        <v>#REF!</v>
      </c>
      <c r="GR56" s="34" t="e">
        <f>AND(#REF!,"AAAAAHf/5cc=")</f>
        <v>#REF!</v>
      </c>
      <c r="GS56" s="34" t="e">
        <f>AND(#REF!,"AAAAAHf/5cg=")</f>
        <v>#REF!</v>
      </c>
      <c r="GT56" s="34" t="e">
        <f>AND(#REF!,"AAAAAHf/5ck=")</f>
        <v>#REF!</v>
      </c>
      <c r="GU56" s="34" t="e">
        <f>AND(#REF!,"AAAAAHf/5co=")</f>
        <v>#REF!</v>
      </c>
      <c r="GV56" s="34" t="e">
        <f>AND(#REF!,"AAAAAHf/5cs=")</f>
        <v>#REF!</v>
      </c>
      <c r="GW56" s="34" t="e">
        <f>AND(#REF!,"AAAAAHf/5cw=")</f>
        <v>#REF!</v>
      </c>
      <c r="GX56" s="34" t="e">
        <f>AND(#REF!,"AAAAAHf/5c0=")</f>
        <v>#REF!</v>
      </c>
      <c r="GY56" s="34" t="e">
        <f>AND(#REF!,"AAAAAHf/5c4=")</f>
        <v>#REF!</v>
      </c>
      <c r="GZ56" s="34" t="e">
        <f>AND(#REF!,"AAAAAHf/5c8=")</f>
        <v>#REF!</v>
      </c>
      <c r="HA56" s="34" t="e">
        <f>AND(#REF!,"AAAAAHf/5dA=")</f>
        <v>#REF!</v>
      </c>
      <c r="HB56" s="34" t="e">
        <f>AND(#REF!,"AAAAAHf/5dE=")</f>
        <v>#REF!</v>
      </c>
      <c r="HC56" s="34" t="e">
        <f>AND(#REF!,"AAAAAHf/5dI=")</f>
        <v>#REF!</v>
      </c>
      <c r="HD56" s="34" t="e">
        <f>AND(#REF!,"AAAAAHf/5dM=")</f>
        <v>#REF!</v>
      </c>
      <c r="HE56" s="34" t="e">
        <f>AND(#REF!,"AAAAAHf/5dQ=")</f>
        <v>#REF!</v>
      </c>
      <c r="HF56" s="34" t="e">
        <f>AND(#REF!,"AAAAAHf/5dU=")</f>
        <v>#REF!</v>
      </c>
      <c r="HG56" s="34" t="e">
        <f>AND(#REF!,"AAAAAHf/5dY=")</f>
        <v>#REF!</v>
      </c>
      <c r="HH56" s="34" t="e">
        <f>AND(#REF!,"AAAAAHf/5dc=")</f>
        <v>#REF!</v>
      </c>
      <c r="HI56" s="34" t="e">
        <f>AND(#REF!,"AAAAAHf/5dg=")</f>
        <v>#REF!</v>
      </c>
      <c r="HJ56" s="34" t="e">
        <f>AND(#REF!,"AAAAAHf/5dk=")</f>
        <v>#REF!</v>
      </c>
      <c r="HK56" s="34" t="e">
        <f>AND(#REF!,"AAAAAHf/5do=")</f>
        <v>#REF!</v>
      </c>
      <c r="HL56" s="34" t="e">
        <f>AND(#REF!,"AAAAAHf/5ds=")</f>
        <v>#REF!</v>
      </c>
      <c r="HM56" s="34" t="e">
        <f>AND(#REF!,"AAAAAHf/5dw=")</f>
        <v>#REF!</v>
      </c>
      <c r="HN56" s="34" t="e">
        <f>AND(#REF!,"AAAAAHf/5d0=")</f>
        <v>#REF!</v>
      </c>
      <c r="HO56" s="34" t="e">
        <f>AND(#REF!,"AAAAAHf/5d4=")</f>
        <v>#REF!</v>
      </c>
      <c r="HP56" s="34" t="e">
        <f>AND(#REF!,"AAAAAHf/5d8=")</f>
        <v>#REF!</v>
      </c>
      <c r="HQ56" s="34" t="e">
        <f>AND(#REF!,"AAAAAHf/5eA=")</f>
        <v>#REF!</v>
      </c>
      <c r="HR56" s="34" t="e">
        <f>AND(#REF!,"AAAAAHf/5eE=")</f>
        <v>#REF!</v>
      </c>
      <c r="HS56" s="34" t="e">
        <f>AND(#REF!,"AAAAAHf/5eI=")</f>
        <v>#REF!</v>
      </c>
      <c r="HT56" s="34" t="e">
        <f>AND(#REF!,"AAAAAHf/5eM=")</f>
        <v>#REF!</v>
      </c>
      <c r="HU56" s="34" t="e">
        <f>AND(#REF!,"AAAAAHf/5eQ=")</f>
        <v>#REF!</v>
      </c>
      <c r="HV56" s="34" t="e">
        <f>AND(#REF!,"AAAAAHf/5eU=")</f>
        <v>#REF!</v>
      </c>
      <c r="HW56" s="34" t="e">
        <f>AND(#REF!,"AAAAAHf/5eY=")</f>
        <v>#REF!</v>
      </c>
      <c r="HX56" s="34" t="e">
        <f>AND(#REF!,"AAAAAHf/5ec=")</f>
        <v>#REF!</v>
      </c>
      <c r="HY56" s="34" t="e">
        <f>AND(#REF!,"AAAAAHf/5eg=")</f>
        <v>#REF!</v>
      </c>
      <c r="HZ56" s="34" t="e">
        <f>AND(#REF!,"AAAAAHf/5ek=")</f>
        <v>#REF!</v>
      </c>
      <c r="IA56" s="34" t="e">
        <f>AND(#REF!,"AAAAAHf/5eo=")</f>
        <v>#REF!</v>
      </c>
      <c r="IB56" s="34" t="e">
        <f>AND(#REF!,"AAAAAHf/5es=")</f>
        <v>#REF!</v>
      </c>
      <c r="IC56" s="34" t="e">
        <f>AND(#REF!,"AAAAAHf/5ew=")</f>
        <v>#REF!</v>
      </c>
      <c r="ID56" s="34" t="e">
        <f>AND(#REF!,"AAAAAHf/5e0=")</f>
        <v>#REF!</v>
      </c>
      <c r="IE56" s="34" t="e">
        <f>AND(#REF!,"AAAAAHf/5e4=")</f>
        <v>#REF!</v>
      </c>
      <c r="IF56" s="34" t="e">
        <f>AND(#REF!,"AAAAAHf/5e8=")</f>
        <v>#REF!</v>
      </c>
      <c r="IG56" s="34" t="e">
        <f>AND(#REF!,"AAAAAHf/5fA=")</f>
        <v>#REF!</v>
      </c>
      <c r="IH56" s="34" t="e">
        <f>AND(#REF!,"AAAAAHf/5fE=")</f>
        <v>#REF!</v>
      </c>
      <c r="II56" s="34" t="e">
        <f>AND(#REF!,"AAAAAHf/5fI=")</f>
        <v>#REF!</v>
      </c>
      <c r="IJ56" s="34" t="e">
        <f>AND(#REF!,"AAAAAHf/5fM=")</f>
        <v>#REF!</v>
      </c>
      <c r="IK56" s="34" t="e">
        <f>AND(#REF!,"AAAAAHf/5fQ=")</f>
        <v>#REF!</v>
      </c>
      <c r="IL56" s="34" t="e">
        <f>AND(#REF!,"AAAAAHf/5fU=")</f>
        <v>#REF!</v>
      </c>
      <c r="IM56" s="34" t="e">
        <f>AND(#REF!,"AAAAAHf/5fY=")</f>
        <v>#REF!</v>
      </c>
      <c r="IN56" s="34" t="e">
        <f>AND(#REF!,"AAAAAHf/5fc=")</f>
        <v>#REF!</v>
      </c>
      <c r="IO56" s="34" t="e">
        <f>AND(#REF!,"AAAAAHf/5fg=")</f>
        <v>#REF!</v>
      </c>
      <c r="IP56" s="34" t="e">
        <f>AND(#REF!,"AAAAAHf/5fk=")</f>
        <v>#REF!</v>
      </c>
      <c r="IQ56" s="34" t="e">
        <f>AND(#REF!,"AAAAAHf/5fo=")</f>
        <v>#REF!</v>
      </c>
      <c r="IR56" s="34" t="e">
        <f>AND(#REF!,"AAAAAHf/5fs=")</f>
        <v>#REF!</v>
      </c>
      <c r="IS56" s="34" t="e">
        <f>AND(#REF!,"AAAAAHf/5fw=")</f>
        <v>#REF!</v>
      </c>
      <c r="IT56" s="34" t="e">
        <f>IF(#REF!,"AAAAAHf/5f0=",0)</f>
        <v>#REF!</v>
      </c>
      <c r="IU56" s="34" t="e">
        <f>AND(#REF!,"AAAAAHf/5f4=")</f>
        <v>#REF!</v>
      </c>
      <c r="IV56" s="34" t="e">
        <f>AND(#REF!,"AAAAAHf/5f8=")</f>
        <v>#REF!</v>
      </c>
    </row>
    <row r="57" spans="1:256" ht="12.75" customHeight="1" x14ac:dyDescent="0.2">
      <c r="A57" s="34" t="e">
        <f>AND(#REF!,"AAAAAHuvuwA=")</f>
        <v>#REF!</v>
      </c>
      <c r="B57" s="34" t="e">
        <f>AND(#REF!,"AAAAAHuvuwE=")</f>
        <v>#REF!</v>
      </c>
      <c r="C57" s="34" t="e">
        <f>AND(#REF!,"AAAAAHuvuwI=")</f>
        <v>#REF!</v>
      </c>
      <c r="D57" s="34" t="e">
        <f>AND(#REF!,"AAAAAHuvuwM=")</f>
        <v>#REF!</v>
      </c>
      <c r="E57" s="34" t="e">
        <f>AND(#REF!,"AAAAAHuvuwQ=")</f>
        <v>#REF!</v>
      </c>
      <c r="F57" s="34" t="e">
        <f>AND(#REF!,"AAAAAHuvuwU=")</f>
        <v>#REF!</v>
      </c>
      <c r="G57" s="34" t="e">
        <f>AND(#REF!,"AAAAAHuvuwY=")</f>
        <v>#REF!</v>
      </c>
      <c r="H57" s="34" t="e">
        <f>AND(#REF!,"AAAAAHuvuwc=")</f>
        <v>#REF!</v>
      </c>
      <c r="I57" s="34" t="e">
        <f>AND(#REF!,"AAAAAHuvuwg=")</f>
        <v>#REF!</v>
      </c>
      <c r="J57" s="34" t="e">
        <f>AND(#REF!,"AAAAAHuvuwk=")</f>
        <v>#REF!</v>
      </c>
      <c r="K57" s="34" t="e">
        <f>AND(#REF!,"AAAAAHuvuwo=")</f>
        <v>#REF!</v>
      </c>
      <c r="L57" s="34" t="e">
        <f>AND(#REF!,"AAAAAHuvuws=")</f>
        <v>#REF!</v>
      </c>
      <c r="M57" s="34" t="e">
        <f>AND(#REF!,"AAAAAHuvuww=")</f>
        <v>#REF!</v>
      </c>
      <c r="N57" s="34" t="e">
        <f>AND(#REF!,"AAAAAHuvuw0=")</f>
        <v>#REF!</v>
      </c>
      <c r="O57" s="34" t="e">
        <f>AND(#REF!,"AAAAAHuvuw4=")</f>
        <v>#REF!</v>
      </c>
      <c r="P57" s="34" t="e">
        <f>AND(#REF!,"AAAAAHuvuw8=")</f>
        <v>#REF!</v>
      </c>
      <c r="Q57" s="34" t="e">
        <f>AND(#REF!,"AAAAAHuvuxA=")</f>
        <v>#REF!</v>
      </c>
      <c r="R57" s="34" t="e">
        <f>AND(#REF!,"AAAAAHuvuxE=")</f>
        <v>#REF!</v>
      </c>
      <c r="S57" s="34" t="e">
        <f>AND(#REF!,"AAAAAHuvuxI=")</f>
        <v>#REF!</v>
      </c>
      <c r="T57" s="34" t="e">
        <f>AND(#REF!,"AAAAAHuvuxM=")</f>
        <v>#REF!</v>
      </c>
      <c r="U57" s="34" t="e">
        <f>AND(#REF!,"AAAAAHuvuxQ=")</f>
        <v>#REF!</v>
      </c>
      <c r="V57" s="34" t="e">
        <f>AND(#REF!,"AAAAAHuvuxU=")</f>
        <v>#REF!</v>
      </c>
      <c r="W57" s="34" t="e">
        <f>AND(#REF!,"AAAAAHuvuxY=")</f>
        <v>#REF!</v>
      </c>
      <c r="X57" s="34" t="e">
        <f>AND(#REF!,"AAAAAHuvuxc=")</f>
        <v>#REF!</v>
      </c>
      <c r="Y57" s="34" t="e">
        <f>AND(#REF!,"AAAAAHuvuxg=")</f>
        <v>#REF!</v>
      </c>
      <c r="Z57" s="34" t="e">
        <f>AND(#REF!,"AAAAAHuvuxk=")</f>
        <v>#REF!</v>
      </c>
      <c r="AA57" s="34" t="e">
        <f>AND(#REF!,"AAAAAHuvuxo=")</f>
        <v>#REF!</v>
      </c>
      <c r="AB57" s="34" t="e">
        <f>AND(#REF!,"AAAAAHuvuxs=")</f>
        <v>#REF!</v>
      </c>
      <c r="AC57" s="34" t="e">
        <f>AND(#REF!,"AAAAAHuvuxw=")</f>
        <v>#REF!</v>
      </c>
      <c r="AD57" s="34" t="e">
        <f>AND(#REF!,"AAAAAHuvux0=")</f>
        <v>#REF!</v>
      </c>
      <c r="AE57" s="34" t="e">
        <f>AND(#REF!,"AAAAAHuvux4=")</f>
        <v>#REF!</v>
      </c>
      <c r="AF57" s="34" t="e">
        <f>AND(#REF!,"AAAAAHuvux8=")</f>
        <v>#REF!</v>
      </c>
      <c r="AG57" s="34" t="e">
        <f>AND(#REF!,"AAAAAHuvuyA=")</f>
        <v>#REF!</v>
      </c>
      <c r="AH57" s="34" t="e">
        <f>AND(#REF!,"AAAAAHuvuyE=")</f>
        <v>#REF!</v>
      </c>
      <c r="AI57" s="34" t="e">
        <f>AND(#REF!,"AAAAAHuvuyI=")</f>
        <v>#REF!</v>
      </c>
      <c r="AJ57" s="34" t="e">
        <f>AND(#REF!,"AAAAAHuvuyM=")</f>
        <v>#REF!</v>
      </c>
      <c r="AK57" s="34" t="e">
        <f>AND(#REF!,"AAAAAHuvuyQ=")</f>
        <v>#REF!</v>
      </c>
      <c r="AL57" s="34" t="e">
        <f>AND(#REF!,"AAAAAHuvuyU=")</f>
        <v>#REF!</v>
      </c>
      <c r="AM57" s="34" t="e">
        <f>AND(#REF!,"AAAAAHuvuyY=")</f>
        <v>#REF!</v>
      </c>
      <c r="AN57" s="34" t="e">
        <f>AND(#REF!,"AAAAAHuvuyc=")</f>
        <v>#REF!</v>
      </c>
      <c r="AO57" s="34" t="e">
        <f>AND(#REF!,"AAAAAHuvuyg=")</f>
        <v>#REF!</v>
      </c>
      <c r="AP57" s="34" t="e">
        <f>AND(#REF!,"AAAAAHuvuyk=")</f>
        <v>#REF!</v>
      </c>
      <c r="AQ57" s="34" t="e">
        <f>AND(#REF!,"AAAAAHuvuyo=")</f>
        <v>#REF!</v>
      </c>
      <c r="AR57" s="34" t="e">
        <f>AND(#REF!,"AAAAAHuvuys=")</f>
        <v>#REF!</v>
      </c>
      <c r="AS57" s="34" t="e">
        <f>AND(#REF!,"AAAAAHuvuyw=")</f>
        <v>#REF!</v>
      </c>
      <c r="AT57" s="34" t="e">
        <f>AND(#REF!,"AAAAAHuvuy0=")</f>
        <v>#REF!</v>
      </c>
      <c r="AU57" s="34" t="e">
        <f>AND(#REF!,"AAAAAHuvuy4=")</f>
        <v>#REF!</v>
      </c>
      <c r="AV57" s="34" t="e">
        <f>AND(#REF!,"AAAAAHuvuy8=")</f>
        <v>#REF!</v>
      </c>
      <c r="AW57" s="34" t="e">
        <f>AND(#REF!,"AAAAAHuvuzA=")</f>
        <v>#REF!</v>
      </c>
      <c r="AX57" s="34" t="e">
        <f>AND(#REF!,"AAAAAHuvuzE=")</f>
        <v>#REF!</v>
      </c>
      <c r="AY57" s="34" t="e">
        <f>AND(#REF!,"AAAAAHuvuzI=")</f>
        <v>#REF!</v>
      </c>
      <c r="AZ57" s="34" t="e">
        <f>AND(#REF!,"AAAAAHuvuzM=")</f>
        <v>#REF!</v>
      </c>
      <c r="BA57" s="34" t="e">
        <f>AND(#REF!,"AAAAAHuvuzQ=")</f>
        <v>#REF!</v>
      </c>
      <c r="BB57" s="34" t="e">
        <f>AND(#REF!,"AAAAAHuvuzU=")</f>
        <v>#REF!</v>
      </c>
      <c r="BC57" s="34" t="e">
        <f>AND(#REF!,"AAAAAHuvuzY=")</f>
        <v>#REF!</v>
      </c>
      <c r="BD57" s="34" t="e">
        <f>AND(#REF!,"AAAAAHuvuzc=")</f>
        <v>#REF!</v>
      </c>
      <c r="BE57" s="34" t="e">
        <f>AND(#REF!,"AAAAAHuvuzg=")</f>
        <v>#REF!</v>
      </c>
      <c r="BF57" s="34" t="e">
        <f>AND(#REF!,"AAAAAHuvuzk=")</f>
        <v>#REF!</v>
      </c>
      <c r="BG57" s="34" t="e">
        <f>AND(#REF!,"AAAAAHuvuzo=")</f>
        <v>#REF!</v>
      </c>
      <c r="BH57" s="34" t="e">
        <f>AND(#REF!,"AAAAAHuvuzs=")</f>
        <v>#REF!</v>
      </c>
      <c r="BI57" s="34" t="e">
        <f>AND(#REF!,"AAAAAHuvuzw=")</f>
        <v>#REF!</v>
      </c>
      <c r="BJ57" s="34" t="e">
        <f>AND(#REF!,"AAAAAHuvuz0=")</f>
        <v>#REF!</v>
      </c>
      <c r="BK57" s="34" t="e">
        <f>AND(#REF!,"AAAAAHuvuz4=")</f>
        <v>#REF!</v>
      </c>
      <c r="BL57" s="34" t="e">
        <f>AND(#REF!,"AAAAAHuvuz8=")</f>
        <v>#REF!</v>
      </c>
      <c r="BM57" s="34" t="e">
        <f>AND(#REF!,"AAAAAHuvu0A=")</f>
        <v>#REF!</v>
      </c>
      <c r="BN57" s="34" t="e">
        <f>AND(#REF!,"AAAAAHuvu0E=")</f>
        <v>#REF!</v>
      </c>
      <c r="BO57" s="34" t="e">
        <f>AND(#REF!,"AAAAAHuvu0I=")</f>
        <v>#REF!</v>
      </c>
      <c r="BP57" s="34" t="e">
        <f>AND(#REF!,"AAAAAHuvu0M=")</f>
        <v>#REF!</v>
      </c>
      <c r="BQ57" s="34" t="e">
        <f>AND(#REF!,"AAAAAHuvu0Q=")</f>
        <v>#REF!</v>
      </c>
      <c r="BR57" s="34" t="e">
        <f>AND(#REF!,"AAAAAHuvu0U=")</f>
        <v>#REF!</v>
      </c>
      <c r="BS57" s="34" t="e">
        <f>IF(#REF!,"AAAAAHuvu0Y=",0)</f>
        <v>#REF!</v>
      </c>
      <c r="BT57" s="34" t="e">
        <f>AND(#REF!,"AAAAAHuvu0c=")</f>
        <v>#REF!</v>
      </c>
      <c r="BU57" s="34" t="e">
        <f>AND(#REF!,"AAAAAHuvu0g=")</f>
        <v>#REF!</v>
      </c>
      <c r="BV57" s="34" t="e">
        <f>AND(#REF!,"AAAAAHuvu0k=")</f>
        <v>#REF!</v>
      </c>
      <c r="BW57" s="34" t="e">
        <f>AND(#REF!,"AAAAAHuvu0o=")</f>
        <v>#REF!</v>
      </c>
      <c r="BX57" s="34" t="e">
        <f>AND(#REF!,"AAAAAHuvu0s=")</f>
        <v>#REF!</v>
      </c>
      <c r="BY57" s="34" t="e">
        <f>AND(#REF!,"AAAAAHuvu0w=")</f>
        <v>#REF!</v>
      </c>
      <c r="BZ57" s="34" t="e">
        <f>AND(#REF!,"AAAAAHuvu00=")</f>
        <v>#REF!</v>
      </c>
      <c r="CA57" s="34" t="e">
        <f>AND(#REF!,"AAAAAHuvu04=")</f>
        <v>#REF!</v>
      </c>
      <c r="CB57" s="34" t="e">
        <f>AND(#REF!,"AAAAAHuvu08=")</f>
        <v>#REF!</v>
      </c>
      <c r="CC57" s="34" t="e">
        <f>AND(#REF!,"AAAAAHuvu1A=")</f>
        <v>#REF!</v>
      </c>
      <c r="CD57" s="34" t="e">
        <f>AND(#REF!,"AAAAAHuvu1E=")</f>
        <v>#REF!</v>
      </c>
      <c r="CE57" s="34" t="e">
        <f>AND(#REF!,"AAAAAHuvu1I=")</f>
        <v>#REF!</v>
      </c>
      <c r="CF57" s="34" t="e">
        <f>AND(#REF!,"AAAAAHuvu1M=")</f>
        <v>#REF!</v>
      </c>
      <c r="CG57" s="34" t="e">
        <f>AND(#REF!,"AAAAAHuvu1Q=")</f>
        <v>#REF!</v>
      </c>
      <c r="CH57" s="34" t="e">
        <f>AND(#REF!,"AAAAAHuvu1U=")</f>
        <v>#REF!</v>
      </c>
      <c r="CI57" s="34" t="e">
        <f>AND(#REF!,"AAAAAHuvu1Y=")</f>
        <v>#REF!</v>
      </c>
      <c r="CJ57" s="34" t="e">
        <f>AND(#REF!,"AAAAAHuvu1c=")</f>
        <v>#REF!</v>
      </c>
      <c r="CK57" s="34" t="e">
        <f>AND(#REF!,"AAAAAHuvu1g=")</f>
        <v>#REF!</v>
      </c>
      <c r="CL57" s="34" t="e">
        <f>AND(#REF!,"AAAAAHuvu1k=")</f>
        <v>#REF!</v>
      </c>
      <c r="CM57" s="34" t="e">
        <f>AND(#REF!,"AAAAAHuvu1o=")</f>
        <v>#REF!</v>
      </c>
      <c r="CN57" s="34" t="e">
        <f>AND(#REF!,"AAAAAHuvu1s=")</f>
        <v>#REF!</v>
      </c>
      <c r="CO57" s="34" t="e">
        <f>AND(#REF!,"AAAAAHuvu1w=")</f>
        <v>#REF!</v>
      </c>
      <c r="CP57" s="34" t="e">
        <f>AND(#REF!,"AAAAAHuvu10=")</f>
        <v>#REF!</v>
      </c>
      <c r="CQ57" s="34" t="e">
        <f>AND(#REF!,"AAAAAHuvu14=")</f>
        <v>#REF!</v>
      </c>
      <c r="CR57" s="34" t="e">
        <f>AND(#REF!,"AAAAAHuvu18=")</f>
        <v>#REF!</v>
      </c>
      <c r="CS57" s="34" t="e">
        <f>AND(#REF!,"AAAAAHuvu2A=")</f>
        <v>#REF!</v>
      </c>
      <c r="CT57" s="34" t="e">
        <f>AND(#REF!,"AAAAAHuvu2E=")</f>
        <v>#REF!</v>
      </c>
      <c r="CU57" s="34" t="e">
        <f>AND(#REF!,"AAAAAHuvu2I=")</f>
        <v>#REF!</v>
      </c>
      <c r="CV57" s="34" t="e">
        <f>AND(#REF!,"AAAAAHuvu2M=")</f>
        <v>#REF!</v>
      </c>
      <c r="CW57" s="34" t="e">
        <f>AND(#REF!,"AAAAAHuvu2Q=")</f>
        <v>#REF!</v>
      </c>
      <c r="CX57" s="34" t="e">
        <f>AND(#REF!,"AAAAAHuvu2U=")</f>
        <v>#REF!</v>
      </c>
      <c r="CY57" s="34" t="e">
        <f>AND(#REF!,"AAAAAHuvu2Y=")</f>
        <v>#REF!</v>
      </c>
      <c r="CZ57" s="34" t="e">
        <f>AND(#REF!,"AAAAAHuvu2c=")</f>
        <v>#REF!</v>
      </c>
      <c r="DA57" s="34" t="e">
        <f>AND(#REF!,"AAAAAHuvu2g=")</f>
        <v>#REF!</v>
      </c>
      <c r="DB57" s="34" t="e">
        <f>AND(#REF!,"AAAAAHuvu2k=")</f>
        <v>#REF!</v>
      </c>
      <c r="DC57" s="34" t="e">
        <f>AND(#REF!,"AAAAAHuvu2o=")</f>
        <v>#REF!</v>
      </c>
      <c r="DD57" s="34" t="e">
        <f>AND(#REF!,"AAAAAHuvu2s=")</f>
        <v>#REF!</v>
      </c>
      <c r="DE57" s="34" t="e">
        <f>AND(#REF!,"AAAAAHuvu2w=")</f>
        <v>#REF!</v>
      </c>
      <c r="DF57" s="34" t="e">
        <f>AND(#REF!,"AAAAAHuvu20=")</f>
        <v>#REF!</v>
      </c>
      <c r="DG57" s="34" t="e">
        <f>AND(#REF!,"AAAAAHuvu24=")</f>
        <v>#REF!</v>
      </c>
      <c r="DH57" s="34" t="e">
        <f>AND(#REF!,"AAAAAHuvu28=")</f>
        <v>#REF!</v>
      </c>
      <c r="DI57" s="34" t="e">
        <f>AND(#REF!,"AAAAAHuvu3A=")</f>
        <v>#REF!</v>
      </c>
      <c r="DJ57" s="34" t="e">
        <f>AND(#REF!,"AAAAAHuvu3E=")</f>
        <v>#REF!</v>
      </c>
      <c r="DK57" s="34" t="e">
        <f>AND(#REF!,"AAAAAHuvu3I=")</f>
        <v>#REF!</v>
      </c>
      <c r="DL57" s="34" t="e">
        <f>AND(#REF!,"AAAAAHuvu3M=")</f>
        <v>#REF!</v>
      </c>
      <c r="DM57" s="34" t="e">
        <f>AND(#REF!,"AAAAAHuvu3Q=")</f>
        <v>#REF!</v>
      </c>
      <c r="DN57" s="34" t="e">
        <f>AND(#REF!,"AAAAAHuvu3U=")</f>
        <v>#REF!</v>
      </c>
      <c r="DO57" s="34" t="e">
        <f>AND(#REF!,"AAAAAHuvu3Y=")</f>
        <v>#REF!</v>
      </c>
      <c r="DP57" s="34" t="e">
        <f>AND(#REF!,"AAAAAHuvu3c=")</f>
        <v>#REF!</v>
      </c>
      <c r="DQ57" s="34" t="e">
        <f>AND(#REF!,"AAAAAHuvu3g=")</f>
        <v>#REF!</v>
      </c>
      <c r="DR57" s="34" t="e">
        <f>AND(#REF!,"AAAAAHuvu3k=")</f>
        <v>#REF!</v>
      </c>
      <c r="DS57" s="34" t="e">
        <f>AND(#REF!,"AAAAAHuvu3o=")</f>
        <v>#REF!</v>
      </c>
      <c r="DT57" s="34" t="e">
        <f>AND(#REF!,"AAAAAHuvu3s=")</f>
        <v>#REF!</v>
      </c>
      <c r="DU57" s="34" t="e">
        <f>AND(#REF!,"AAAAAHuvu3w=")</f>
        <v>#REF!</v>
      </c>
      <c r="DV57" s="34" t="e">
        <f>AND(#REF!,"AAAAAHuvu30=")</f>
        <v>#REF!</v>
      </c>
      <c r="DW57" s="34" t="e">
        <f>AND(#REF!,"AAAAAHuvu34=")</f>
        <v>#REF!</v>
      </c>
      <c r="DX57" s="34" t="e">
        <f>AND(#REF!,"AAAAAHuvu38=")</f>
        <v>#REF!</v>
      </c>
      <c r="DY57" s="34" t="e">
        <f>AND(#REF!,"AAAAAHuvu4A=")</f>
        <v>#REF!</v>
      </c>
      <c r="DZ57" s="34" t="e">
        <f>AND(#REF!,"AAAAAHuvu4E=")</f>
        <v>#REF!</v>
      </c>
      <c r="EA57" s="34" t="e">
        <f>AND(#REF!,"AAAAAHuvu4I=")</f>
        <v>#REF!</v>
      </c>
      <c r="EB57" s="34" t="e">
        <f>AND(#REF!,"AAAAAHuvu4M=")</f>
        <v>#REF!</v>
      </c>
      <c r="EC57" s="34" t="e">
        <f>AND(#REF!,"AAAAAHuvu4Q=")</f>
        <v>#REF!</v>
      </c>
      <c r="ED57" s="34" t="e">
        <f>AND(#REF!,"AAAAAHuvu4U=")</f>
        <v>#REF!</v>
      </c>
      <c r="EE57" s="34" t="e">
        <f>AND(#REF!,"AAAAAHuvu4Y=")</f>
        <v>#REF!</v>
      </c>
      <c r="EF57" s="34" t="e">
        <f>AND(#REF!,"AAAAAHuvu4c=")</f>
        <v>#REF!</v>
      </c>
      <c r="EG57" s="34" t="e">
        <f>AND(#REF!,"AAAAAHuvu4g=")</f>
        <v>#REF!</v>
      </c>
      <c r="EH57" s="34" t="e">
        <f>AND(#REF!,"AAAAAHuvu4k=")</f>
        <v>#REF!</v>
      </c>
      <c r="EI57" s="34" t="e">
        <f>AND(#REF!,"AAAAAHuvu4o=")</f>
        <v>#REF!</v>
      </c>
      <c r="EJ57" s="34" t="e">
        <f>AND(#REF!,"AAAAAHuvu4s=")</f>
        <v>#REF!</v>
      </c>
      <c r="EK57" s="34" t="e">
        <f>AND(#REF!,"AAAAAHuvu4w=")</f>
        <v>#REF!</v>
      </c>
      <c r="EL57" s="34" t="e">
        <f>AND(#REF!,"AAAAAHuvu40=")</f>
        <v>#REF!</v>
      </c>
      <c r="EM57" s="34" t="e">
        <f>AND(#REF!,"AAAAAHuvu44=")</f>
        <v>#REF!</v>
      </c>
      <c r="EN57" s="34" t="e">
        <f>IF(#REF!,"AAAAAHuvu48=",0)</f>
        <v>#REF!</v>
      </c>
      <c r="EO57" s="34" t="e">
        <f>AND(#REF!,"AAAAAHuvu5A=")</f>
        <v>#REF!</v>
      </c>
      <c r="EP57" s="34" t="e">
        <f>AND(#REF!,"AAAAAHuvu5E=")</f>
        <v>#REF!</v>
      </c>
      <c r="EQ57" s="34" t="e">
        <f>AND(#REF!,"AAAAAHuvu5I=")</f>
        <v>#REF!</v>
      </c>
      <c r="ER57" s="34" t="e">
        <f>AND(#REF!,"AAAAAHuvu5M=")</f>
        <v>#REF!</v>
      </c>
      <c r="ES57" s="34" t="e">
        <f>AND(#REF!,"AAAAAHuvu5Q=")</f>
        <v>#REF!</v>
      </c>
      <c r="ET57" s="34" t="e">
        <f>AND(#REF!,"AAAAAHuvu5U=")</f>
        <v>#REF!</v>
      </c>
      <c r="EU57" s="34" t="e">
        <f>AND(#REF!,"AAAAAHuvu5Y=")</f>
        <v>#REF!</v>
      </c>
      <c r="EV57" s="34" t="e">
        <f>AND(#REF!,"AAAAAHuvu5c=")</f>
        <v>#REF!</v>
      </c>
      <c r="EW57" s="34" t="e">
        <f>AND(#REF!,"AAAAAHuvu5g=")</f>
        <v>#REF!</v>
      </c>
      <c r="EX57" s="34" t="e">
        <f>AND(#REF!,"AAAAAHuvu5k=")</f>
        <v>#REF!</v>
      </c>
      <c r="EY57" s="34" t="e">
        <f>AND(#REF!,"AAAAAHuvu5o=")</f>
        <v>#REF!</v>
      </c>
      <c r="EZ57" s="34" t="e">
        <f>AND(#REF!,"AAAAAHuvu5s=")</f>
        <v>#REF!</v>
      </c>
      <c r="FA57" s="34" t="e">
        <f>AND(#REF!,"AAAAAHuvu5w=")</f>
        <v>#REF!</v>
      </c>
      <c r="FB57" s="34" t="e">
        <f>AND(#REF!,"AAAAAHuvu50=")</f>
        <v>#REF!</v>
      </c>
      <c r="FC57" s="34" t="e">
        <f>AND(#REF!,"AAAAAHuvu54=")</f>
        <v>#REF!</v>
      </c>
      <c r="FD57" s="34" t="e">
        <f>AND(#REF!,"AAAAAHuvu58=")</f>
        <v>#REF!</v>
      </c>
      <c r="FE57" s="34" t="e">
        <f>AND(#REF!,"AAAAAHuvu6A=")</f>
        <v>#REF!</v>
      </c>
      <c r="FF57" s="34" t="e">
        <f>AND(#REF!,"AAAAAHuvu6E=")</f>
        <v>#REF!</v>
      </c>
      <c r="FG57" s="34" t="e">
        <f>AND(#REF!,"AAAAAHuvu6I=")</f>
        <v>#REF!</v>
      </c>
      <c r="FH57" s="34" t="e">
        <f>AND(#REF!,"AAAAAHuvu6M=")</f>
        <v>#REF!</v>
      </c>
      <c r="FI57" s="34" t="e">
        <f>AND(#REF!,"AAAAAHuvu6Q=")</f>
        <v>#REF!</v>
      </c>
      <c r="FJ57" s="34" t="e">
        <f>AND(#REF!,"AAAAAHuvu6U=")</f>
        <v>#REF!</v>
      </c>
      <c r="FK57" s="34" t="e">
        <f>AND(#REF!,"AAAAAHuvu6Y=")</f>
        <v>#REF!</v>
      </c>
      <c r="FL57" s="34" t="e">
        <f>AND(#REF!,"AAAAAHuvu6c=")</f>
        <v>#REF!</v>
      </c>
      <c r="FM57" s="34" t="e">
        <f>AND(#REF!,"AAAAAHuvu6g=")</f>
        <v>#REF!</v>
      </c>
      <c r="FN57" s="34" t="e">
        <f>AND(#REF!,"AAAAAHuvu6k=")</f>
        <v>#REF!</v>
      </c>
      <c r="FO57" s="34" t="e">
        <f>AND(#REF!,"AAAAAHuvu6o=")</f>
        <v>#REF!</v>
      </c>
      <c r="FP57" s="34" t="e">
        <f>AND(#REF!,"AAAAAHuvu6s=")</f>
        <v>#REF!</v>
      </c>
      <c r="FQ57" s="34" t="e">
        <f>AND(#REF!,"AAAAAHuvu6w=")</f>
        <v>#REF!</v>
      </c>
      <c r="FR57" s="34" t="e">
        <f>AND(#REF!,"AAAAAHuvu60=")</f>
        <v>#REF!</v>
      </c>
      <c r="FS57" s="34" t="e">
        <f>AND(#REF!,"AAAAAHuvu64=")</f>
        <v>#REF!</v>
      </c>
      <c r="FT57" s="34" t="e">
        <f>AND(#REF!,"AAAAAHuvu68=")</f>
        <v>#REF!</v>
      </c>
      <c r="FU57" s="34" t="e">
        <f>AND(#REF!,"AAAAAHuvu7A=")</f>
        <v>#REF!</v>
      </c>
      <c r="FV57" s="34" t="e">
        <f>AND(#REF!,"AAAAAHuvu7E=")</f>
        <v>#REF!</v>
      </c>
      <c r="FW57" s="34" t="e">
        <f>AND(#REF!,"AAAAAHuvu7I=")</f>
        <v>#REF!</v>
      </c>
      <c r="FX57" s="34" t="e">
        <f>AND(#REF!,"AAAAAHuvu7M=")</f>
        <v>#REF!</v>
      </c>
      <c r="FY57" s="34" t="e">
        <f>AND(#REF!,"AAAAAHuvu7Q=")</f>
        <v>#REF!</v>
      </c>
      <c r="FZ57" s="34" t="e">
        <f>AND(#REF!,"AAAAAHuvu7U=")</f>
        <v>#REF!</v>
      </c>
      <c r="GA57" s="34" t="e">
        <f>AND(#REF!,"AAAAAHuvu7Y=")</f>
        <v>#REF!</v>
      </c>
      <c r="GB57" s="34" t="e">
        <f>AND(#REF!,"AAAAAHuvu7c=")</f>
        <v>#REF!</v>
      </c>
      <c r="GC57" s="34" t="e">
        <f>AND(#REF!,"AAAAAHuvu7g=")</f>
        <v>#REF!</v>
      </c>
      <c r="GD57" s="34" t="e">
        <f>AND(#REF!,"AAAAAHuvu7k=")</f>
        <v>#REF!</v>
      </c>
      <c r="GE57" s="34" t="e">
        <f>AND(#REF!,"AAAAAHuvu7o=")</f>
        <v>#REF!</v>
      </c>
      <c r="GF57" s="34" t="e">
        <f>AND(#REF!,"AAAAAHuvu7s=")</f>
        <v>#REF!</v>
      </c>
      <c r="GG57" s="34" t="e">
        <f>AND(#REF!,"AAAAAHuvu7w=")</f>
        <v>#REF!</v>
      </c>
      <c r="GH57" s="34" t="e">
        <f>AND(#REF!,"AAAAAHuvu70=")</f>
        <v>#REF!</v>
      </c>
      <c r="GI57" s="34" t="e">
        <f>AND(#REF!,"AAAAAHuvu74=")</f>
        <v>#REF!</v>
      </c>
      <c r="GJ57" s="34" t="e">
        <f>AND(#REF!,"AAAAAHuvu78=")</f>
        <v>#REF!</v>
      </c>
      <c r="GK57" s="34" t="e">
        <f>AND(#REF!,"AAAAAHuvu8A=")</f>
        <v>#REF!</v>
      </c>
      <c r="GL57" s="34" t="e">
        <f>AND(#REF!,"AAAAAHuvu8E=")</f>
        <v>#REF!</v>
      </c>
      <c r="GM57" s="34" t="e">
        <f>AND(#REF!,"AAAAAHuvu8I=")</f>
        <v>#REF!</v>
      </c>
      <c r="GN57" s="34" t="e">
        <f>AND(#REF!,"AAAAAHuvu8M=")</f>
        <v>#REF!</v>
      </c>
      <c r="GO57" s="34" t="e">
        <f>AND(#REF!,"AAAAAHuvu8Q=")</f>
        <v>#REF!</v>
      </c>
      <c r="GP57" s="34" t="e">
        <f>AND(#REF!,"AAAAAHuvu8U=")</f>
        <v>#REF!</v>
      </c>
      <c r="GQ57" s="34" t="e">
        <f>AND(#REF!,"AAAAAHuvu8Y=")</f>
        <v>#REF!</v>
      </c>
      <c r="GR57" s="34" t="e">
        <f>AND(#REF!,"AAAAAHuvu8c=")</f>
        <v>#REF!</v>
      </c>
      <c r="GS57" s="34" t="e">
        <f>AND(#REF!,"AAAAAHuvu8g=")</f>
        <v>#REF!</v>
      </c>
      <c r="GT57" s="34" t="e">
        <f>AND(#REF!,"AAAAAHuvu8k=")</f>
        <v>#REF!</v>
      </c>
      <c r="GU57" s="34" t="e">
        <f>AND(#REF!,"AAAAAHuvu8o=")</f>
        <v>#REF!</v>
      </c>
      <c r="GV57" s="34" t="e">
        <f>AND(#REF!,"AAAAAHuvu8s=")</f>
        <v>#REF!</v>
      </c>
      <c r="GW57" s="34" t="e">
        <f>AND(#REF!,"AAAAAHuvu8w=")</f>
        <v>#REF!</v>
      </c>
      <c r="GX57" s="34" t="e">
        <f>AND(#REF!,"AAAAAHuvu80=")</f>
        <v>#REF!</v>
      </c>
      <c r="GY57" s="34" t="e">
        <f>AND(#REF!,"AAAAAHuvu84=")</f>
        <v>#REF!</v>
      </c>
      <c r="GZ57" s="34" t="e">
        <f>AND(#REF!,"AAAAAHuvu88=")</f>
        <v>#REF!</v>
      </c>
      <c r="HA57" s="34" t="e">
        <f>AND(#REF!,"AAAAAHuvu9A=")</f>
        <v>#REF!</v>
      </c>
      <c r="HB57" s="34" t="e">
        <f>AND(#REF!,"AAAAAHuvu9E=")</f>
        <v>#REF!</v>
      </c>
      <c r="HC57" s="34" t="e">
        <f>AND(#REF!,"AAAAAHuvu9I=")</f>
        <v>#REF!</v>
      </c>
      <c r="HD57" s="34" t="e">
        <f>AND(#REF!,"AAAAAHuvu9M=")</f>
        <v>#REF!</v>
      </c>
      <c r="HE57" s="34" t="e">
        <f>AND(#REF!,"AAAAAHuvu9Q=")</f>
        <v>#REF!</v>
      </c>
      <c r="HF57" s="34" t="e">
        <f>AND(#REF!,"AAAAAHuvu9U=")</f>
        <v>#REF!</v>
      </c>
      <c r="HG57" s="34" t="e">
        <f>AND(#REF!,"AAAAAHuvu9Y=")</f>
        <v>#REF!</v>
      </c>
      <c r="HH57" s="34" t="e">
        <f>AND(#REF!,"AAAAAHuvu9c=")</f>
        <v>#REF!</v>
      </c>
      <c r="HI57" s="34" t="e">
        <f>IF(#REF!,"AAAAAHuvu9g=",0)</f>
        <v>#REF!</v>
      </c>
      <c r="HJ57" s="34" t="e">
        <f>AND(#REF!,"AAAAAHuvu9k=")</f>
        <v>#REF!</v>
      </c>
      <c r="HK57" s="34" t="e">
        <f>AND(#REF!,"AAAAAHuvu9o=")</f>
        <v>#REF!</v>
      </c>
      <c r="HL57" s="34" t="e">
        <f>AND(#REF!,"AAAAAHuvu9s=")</f>
        <v>#REF!</v>
      </c>
      <c r="HM57" s="34" t="e">
        <f>AND(#REF!,"AAAAAHuvu9w=")</f>
        <v>#REF!</v>
      </c>
      <c r="HN57" s="34" t="e">
        <f>AND(#REF!,"AAAAAHuvu90=")</f>
        <v>#REF!</v>
      </c>
      <c r="HO57" s="34" t="e">
        <f>AND(#REF!,"AAAAAHuvu94=")</f>
        <v>#REF!</v>
      </c>
      <c r="HP57" s="34" t="e">
        <f>AND(#REF!,"AAAAAHuvu98=")</f>
        <v>#REF!</v>
      </c>
      <c r="HQ57" s="34" t="e">
        <f>AND(#REF!,"AAAAAHuvu+A=")</f>
        <v>#REF!</v>
      </c>
      <c r="HR57" s="34" t="e">
        <f>AND(#REF!,"AAAAAHuvu+E=")</f>
        <v>#REF!</v>
      </c>
      <c r="HS57" s="34" t="e">
        <f>AND(#REF!,"AAAAAHuvu+I=")</f>
        <v>#REF!</v>
      </c>
      <c r="HT57" s="34" t="e">
        <f>AND(#REF!,"AAAAAHuvu+M=")</f>
        <v>#REF!</v>
      </c>
      <c r="HU57" s="34" t="e">
        <f>AND(#REF!,"AAAAAHuvu+Q=")</f>
        <v>#REF!</v>
      </c>
      <c r="HV57" s="34" t="e">
        <f>AND(#REF!,"AAAAAHuvu+U=")</f>
        <v>#REF!</v>
      </c>
      <c r="HW57" s="34" t="e">
        <f>AND(#REF!,"AAAAAHuvu+Y=")</f>
        <v>#REF!</v>
      </c>
      <c r="HX57" s="34" t="e">
        <f>AND(#REF!,"AAAAAHuvu+c=")</f>
        <v>#REF!</v>
      </c>
      <c r="HY57" s="34" t="e">
        <f>AND(#REF!,"AAAAAHuvu+g=")</f>
        <v>#REF!</v>
      </c>
      <c r="HZ57" s="34" t="e">
        <f>AND(#REF!,"AAAAAHuvu+k=")</f>
        <v>#REF!</v>
      </c>
      <c r="IA57" s="34" t="e">
        <f>AND(#REF!,"AAAAAHuvu+o=")</f>
        <v>#REF!</v>
      </c>
      <c r="IB57" s="34" t="e">
        <f>AND(#REF!,"AAAAAHuvu+s=")</f>
        <v>#REF!</v>
      </c>
      <c r="IC57" s="34" t="e">
        <f>AND(#REF!,"AAAAAHuvu+w=")</f>
        <v>#REF!</v>
      </c>
      <c r="ID57" s="34" t="e">
        <f>AND(#REF!,"AAAAAHuvu+0=")</f>
        <v>#REF!</v>
      </c>
      <c r="IE57" s="34" t="e">
        <f>AND(#REF!,"AAAAAHuvu+4=")</f>
        <v>#REF!</v>
      </c>
      <c r="IF57" s="34" t="e">
        <f>AND(#REF!,"AAAAAHuvu+8=")</f>
        <v>#REF!</v>
      </c>
      <c r="IG57" s="34" t="e">
        <f>AND(#REF!,"AAAAAHuvu/A=")</f>
        <v>#REF!</v>
      </c>
      <c r="IH57" s="34" t="e">
        <f>AND(#REF!,"AAAAAHuvu/E=")</f>
        <v>#REF!</v>
      </c>
      <c r="II57" s="34" t="e">
        <f>AND(#REF!,"AAAAAHuvu/I=")</f>
        <v>#REF!</v>
      </c>
      <c r="IJ57" s="34" t="e">
        <f>AND(#REF!,"AAAAAHuvu/M=")</f>
        <v>#REF!</v>
      </c>
      <c r="IK57" s="34" t="e">
        <f>AND(#REF!,"AAAAAHuvu/Q=")</f>
        <v>#REF!</v>
      </c>
      <c r="IL57" s="34" t="e">
        <f>AND(#REF!,"AAAAAHuvu/U=")</f>
        <v>#REF!</v>
      </c>
      <c r="IM57" s="34" t="e">
        <f>AND(#REF!,"AAAAAHuvu/Y=")</f>
        <v>#REF!</v>
      </c>
      <c r="IN57" s="34" t="e">
        <f>AND(#REF!,"AAAAAHuvu/c=")</f>
        <v>#REF!</v>
      </c>
      <c r="IO57" s="34" t="e">
        <f>AND(#REF!,"AAAAAHuvu/g=")</f>
        <v>#REF!</v>
      </c>
      <c r="IP57" s="34" t="e">
        <f>AND(#REF!,"AAAAAHuvu/k=")</f>
        <v>#REF!</v>
      </c>
      <c r="IQ57" s="34" t="e">
        <f>AND(#REF!,"AAAAAHuvu/o=")</f>
        <v>#REF!</v>
      </c>
      <c r="IR57" s="34" t="e">
        <f>AND(#REF!,"AAAAAHuvu/s=")</f>
        <v>#REF!</v>
      </c>
      <c r="IS57" s="34" t="e">
        <f>AND(#REF!,"AAAAAHuvu/w=")</f>
        <v>#REF!</v>
      </c>
      <c r="IT57" s="34" t="e">
        <f>AND(#REF!,"AAAAAHuvu/0=")</f>
        <v>#REF!</v>
      </c>
      <c r="IU57" s="34" t="e">
        <f>AND(#REF!,"AAAAAHuvu/4=")</f>
        <v>#REF!</v>
      </c>
      <c r="IV57" s="34" t="e">
        <f>AND(#REF!,"AAAAAHuvu/8=")</f>
        <v>#REF!</v>
      </c>
    </row>
    <row r="58" spans="1:256" ht="12.75" customHeight="1" x14ac:dyDescent="0.2">
      <c r="A58" s="34" t="e">
        <f>AND(#REF!,"AAAAAH19vwA=")</f>
        <v>#REF!</v>
      </c>
      <c r="B58" s="34" t="e">
        <f>AND(#REF!,"AAAAAH19vwE=")</f>
        <v>#REF!</v>
      </c>
      <c r="C58" s="34" t="e">
        <f>AND(#REF!,"AAAAAH19vwI=")</f>
        <v>#REF!</v>
      </c>
      <c r="D58" s="34" t="e">
        <f>AND(#REF!,"AAAAAH19vwM=")</f>
        <v>#REF!</v>
      </c>
      <c r="E58" s="34" t="e">
        <f>AND(#REF!,"AAAAAH19vwQ=")</f>
        <v>#REF!</v>
      </c>
      <c r="F58" s="34" t="e">
        <f>AND(#REF!,"AAAAAH19vwU=")</f>
        <v>#REF!</v>
      </c>
      <c r="G58" s="34" t="e">
        <f>AND(#REF!,"AAAAAH19vwY=")</f>
        <v>#REF!</v>
      </c>
      <c r="H58" s="34" t="e">
        <f>AND(#REF!,"AAAAAH19vwc=")</f>
        <v>#REF!</v>
      </c>
      <c r="I58" s="34" t="e">
        <f>AND(#REF!,"AAAAAH19vwg=")</f>
        <v>#REF!</v>
      </c>
      <c r="J58" s="34" t="e">
        <f>AND(#REF!,"AAAAAH19vwk=")</f>
        <v>#REF!</v>
      </c>
      <c r="K58" s="34" t="e">
        <f>AND(#REF!,"AAAAAH19vwo=")</f>
        <v>#REF!</v>
      </c>
      <c r="L58" s="34" t="e">
        <f>AND(#REF!,"AAAAAH19vws=")</f>
        <v>#REF!</v>
      </c>
      <c r="M58" s="34" t="e">
        <f>AND(#REF!,"AAAAAH19vww=")</f>
        <v>#REF!</v>
      </c>
      <c r="N58" s="34" t="e">
        <f>AND(#REF!,"AAAAAH19vw0=")</f>
        <v>#REF!</v>
      </c>
      <c r="O58" s="34" t="e">
        <f>AND(#REF!,"AAAAAH19vw4=")</f>
        <v>#REF!</v>
      </c>
      <c r="P58" s="34" t="e">
        <f>AND(#REF!,"AAAAAH19vw8=")</f>
        <v>#REF!</v>
      </c>
      <c r="Q58" s="34" t="e">
        <f>AND(#REF!,"AAAAAH19vxA=")</f>
        <v>#REF!</v>
      </c>
      <c r="R58" s="34" t="e">
        <f>AND(#REF!,"AAAAAH19vxE=")</f>
        <v>#REF!</v>
      </c>
      <c r="S58" s="34" t="e">
        <f>AND(#REF!,"AAAAAH19vxI=")</f>
        <v>#REF!</v>
      </c>
      <c r="T58" s="34" t="e">
        <f>AND(#REF!,"AAAAAH19vxM=")</f>
        <v>#REF!</v>
      </c>
      <c r="U58" s="34" t="e">
        <f>AND(#REF!,"AAAAAH19vxQ=")</f>
        <v>#REF!</v>
      </c>
      <c r="V58" s="34" t="e">
        <f>AND(#REF!,"AAAAAH19vxU=")</f>
        <v>#REF!</v>
      </c>
      <c r="W58" s="34" t="e">
        <f>AND(#REF!,"AAAAAH19vxY=")</f>
        <v>#REF!</v>
      </c>
      <c r="X58" s="34" t="e">
        <f>AND(#REF!,"AAAAAH19vxc=")</f>
        <v>#REF!</v>
      </c>
      <c r="Y58" s="34" t="e">
        <f>AND(#REF!,"AAAAAH19vxg=")</f>
        <v>#REF!</v>
      </c>
      <c r="Z58" s="34" t="e">
        <f>AND(#REF!,"AAAAAH19vxk=")</f>
        <v>#REF!</v>
      </c>
      <c r="AA58" s="34" t="e">
        <f>AND(#REF!,"AAAAAH19vxo=")</f>
        <v>#REF!</v>
      </c>
      <c r="AB58" s="34" t="e">
        <f>AND(#REF!,"AAAAAH19vxs=")</f>
        <v>#REF!</v>
      </c>
      <c r="AC58" s="34" t="e">
        <f>AND(#REF!,"AAAAAH19vxw=")</f>
        <v>#REF!</v>
      </c>
      <c r="AD58" s="34" t="e">
        <f>AND(#REF!,"AAAAAH19vx0=")</f>
        <v>#REF!</v>
      </c>
      <c r="AE58" s="34" t="e">
        <f>AND(#REF!,"AAAAAH19vx4=")</f>
        <v>#REF!</v>
      </c>
      <c r="AF58" s="34" t="e">
        <f>AND(#REF!,"AAAAAH19vx8=")</f>
        <v>#REF!</v>
      </c>
      <c r="AG58" s="34" t="e">
        <f>AND(#REF!,"AAAAAH19vyA=")</f>
        <v>#REF!</v>
      </c>
      <c r="AH58" s="34" t="e">
        <f>IF(#REF!,"AAAAAH19vyE=",0)</f>
        <v>#REF!</v>
      </c>
      <c r="AI58" s="34" t="e">
        <f>AND(#REF!,"AAAAAH19vyI=")</f>
        <v>#REF!</v>
      </c>
      <c r="AJ58" s="34" t="e">
        <f>AND(#REF!,"AAAAAH19vyM=")</f>
        <v>#REF!</v>
      </c>
      <c r="AK58" s="34" t="e">
        <f>AND(#REF!,"AAAAAH19vyQ=")</f>
        <v>#REF!</v>
      </c>
      <c r="AL58" s="34" t="e">
        <f>AND(#REF!,"AAAAAH19vyU=")</f>
        <v>#REF!</v>
      </c>
      <c r="AM58" s="34" t="e">
        <f>AND(#REF!,"AAAAAH19vyY=")</f>
        <v>#REF!</v>
      </c>
      <c r="AN58" s="34" t="e">
        <f>AND(#REF!,"AAAAAH19vyc=")</f>
        <v>#REF!</v>
      </c>
      <c r="AO58" s="34" t="e">
        <f>AND(#REF!,"AAAAAH19vyg=")</f>
        <v>#REF!</v>
      </c>
      <c r="AP58" s="34" t="e">
        <f>AND(#REF!,"AAAAAH19vyk=")</f>
        <v>#REF!</v>
      </c>
      <c r="AQ58" s="34" t="e">
        <f>AND(#REF!,"AAAAAH19vyo=")</f>
        <v>#REF!</v>
      </c>
      <c r="AR58" s="34" t="e">
        <f>AND(#REF!,"AAAAAH19vys=")</f>
        <v>#REF!</v>
      </c>
      <c r="AS58" s="34" t="e">
        <f>AND(#REF!,"AAAAAH19vyw=")</f>
        <v>#REF!</v>
      </c>
      <c r="AT58" s="34" t="e">
        <f>AND(#REF!,"AAAAAH19vy0=")</f>
        <v>#REF!</v>
      </c>
      <c r="AU58" s="34" t="e">
        <f>AND(#REF!,"AAAAAH19vy4=")</f>
        <v>#REF!</v>
      </c>
      <c r="AV58" s="34" t="e">
        <f>AND(#REF!,"AAAAAH19vy8=")</f>
        <v>#REF!</v>
      </c>
      <c r="AW58" s="34" t="e">
        <f>AND(#REF!,"AAAAAH19vzA=")</f>
        <v>#REF!</v>
      </c>
      <c r="AX58" s="34" t="e">
        <f>AND(#REF!,"AAAAAH19vzE=")</f>
        <v>#REF!</v>
      </c>
      <c r="AY58" s="34" t="e">
        <f>AND(#REF!,"AAAAAH19vzI=")</f>
        <v>#REF!</v>
      </c>
      <c r="AZ58" s="34" t="e">
        <f>AND(#REF!,"AAAAAH19vzM=")</f>
        <v>#REF!</v>
      </c>
      <c r="BA58" s="34" t="e">
        <f>AND(#REF!,"AAAAAH19vzQ=")</f>
        <v>#REF!</v>
      </c>
      <c r="BB58" s="34" t="e">
        <f>AND(#REF!,"AAAAAH19vzU=")</f>
        <v>#REF!</v>
      </c>
      <c r="BC58" s="34" t="e">
        <f>AND(#REF!,"AAAAAH19vzY=")</f>
        <v>#REF!</v>
      </c>
      <c r="BD58" s="34" t="e">
        <f>AND(#REF!,"AAAAAH19vzc=")</f>
        <v>#REF!</v>
      </c>
      <c r="BE58" s="34" t="e">
        <f>AND(#REF!,"AAAAAH19vzg=")</f>
        <v>#REF!</v>
      </c>
      <c r="BF58" s="34" t="e">
        <f>AND(#REF!,"AAAAAH19vzk=")</f>
        <v>#REF!</v>
      </c>
      <c r="BG58" s="34" t="e">
        <f>AND(#REF!,"AAAAAH19vzo=")</f>
        <v>#REF!</v>
      </c>
      <c r="BH58" s="34" t="e">
        <f>AND(#REF!,"AAAAAH19vzs=")</f>
        <v>#REF!</v>
      </c>
      <c r="BI58" s="34" t="e">
        <f>AND(#REF!,"AAAAAH19vzw=")</f>
        <v>#REF!</v>
      </c>
      <c r="BJ58" s="34" t="e">
        <f>AND(#REF!,"AAAAAH19vz0=")</f>
        <v>#REF!</v>
      </c>
      <c r="BK58" s="34" t="e">
        <f>AND(#REF!,"AAAAAH19vz4=")</f>
        <v>#REF!</v>
      </c>
      <c r="BL58" s="34" t="e">
        <f>AND(#REF!,"AAAAAH19vz8=")</f>
        <v>#REF!</v>
      </c>
      <c r="BM58" s="34" t="e">
        <f>AND(#REF!,"AAAAAH19v0A=")</f>
        <v>#REF!</v>
      </c>
      <c r="BN58" s="34" t="e">
        <f>AND(#REF!,"AAAAAH19v0E=")</f>
        <v>#REF!</v>
      </c>
      <c r="BO58" s="34" t="e">
        <f>AND(#REF!,"AAAAAH19v0I=")</f>
        <v>#REF!</v>
      </c>
      <c r="BP58" s="34" t="e">
        <f>AND(#REF!,"AAAAAH19v0M=")</f>
        <v>#REF!</v>
      </c>
      <c r="BQ58" s="34" t="e">
        <f>AND(#REF!,"AAAAAH19v0Q=")</f>
        <v>#REF!</v>
      </c>
      <c r="BR58" s="34" t="e">
        <f>AND(#REF!,"AAAAAH19v0U=")</f>
        <v>#REF!</v>
      </c>
      <c r="BS58" s="34" t="e">
        <f>AND(#REF!,"AAAAAH19v0Y=")</f>
        <v>#REF!</v>
      </c>
      <c r="BT58" s="34" t="e">
        <f>AND(#REF!,"AAAAAH19v0c=")</f>
        <v>#REF!</v>
      </c>
      <c r="BU58" s="34" t="e">
        <f>AND(#REF!,"AAAAAH19v0g=")</f>
        <v>#REF!</v>
      </c>
      <c r="BV58" s="34" t="e">
        <f>AND(#REF!,"AAAAAH19v0k=")</f>
        <v>#REF!</v>
      </c>
      <c r="BW58" s="34" t="e">
        <f>AND(#REF!,"AAAAAH19v0o=")</f>
        <v>#REF!</v>
      </c>
      <c r="BX58" s="34" t="e">
        <f>AND(#REF!,"AAAAAH19v0s=")</f>
        <v>#REF!</v>
      </c>
      <c r="BY58" s="34" t="e">
        <f>AND(#REF!,"AAAAAH19v0w=")</f>
        <v>#REF!</v>
      </c>
      <c r="BZ58" s="34" t="e">
        <f>AND(#REF!,"AAAAAH19v00=")</f>
        <v>#REF!</v>
      </c>
      <c r="CA58" s="34" t="e">
        <f>AND(#REF!,"AAAAAH19v04=")</f>
        <v>#REF!</v>
      </c>
      <c r="CB58" s="34" t="e">
        <f>AND(#REF!,"AAAAAH19v08=")</f>
        <v>#REF!</v>
      </c>
      <c r="CC58" s="34" t="e">
        <f>AND(#REF!,"AAAAAH19v1A=")</f>
        <v>#REF!</v>
      </c>
      <c r="CD58" s="34" t="e">
        <f>AND(#REF!,"AAAAAH19v1E=")</f>
        <v>#REF!</v>
      </c>
      <c r="CE58" s="34" t="e">
        <f>AND(#REF!,"AAAAAH19v1I=")</f>
        <v>#REF!</v>
      </c>
      <c r="CF58" s="34" t="e">
        <f>AND(#REF!,"AAAAAH19v1M=")</f>
        <v>#REF!</v>
      </c>
      <c r="CG58" s="34" t="e">
        <f>AND(#REF!,"AAAAAH19v1Q=")</f>
        <v>#REF!</v>
      </c>
      <c r="CH58" s="34" t="e">
        <f>AND(#REF!,"AAAAAH19v1U=")</f>
        <v>#REF!</v>
      </c>
      <c r="CI58" s="34" t="e">
        <f>AND(#REF!,"AAAAAH19v1Y=")</f>
        <v>#REF!</v>
      </c>
      <c r="CJ58" s="34" t="e">
        <f>AND(#REF!,"AAAAAH19v1c=")</f>
        <v>#REF!</v>
      </c>
      <c r="CK58" s="34" t="e">
        <f>AND(#REF!,"AAAAAH19v1g=")</f>
        <v>#REF!</v>
      </c>
      <c r="CL58" s="34" t="e">
        <f>AND(#REF!,"AAAAAH19v1k=")</f>
        <v>#REF!</v>
      </c>
      <c r="CM58" s="34" t="e">
        <f>AND(#REF!,"AAAAAH19v1o=")</f>
        <v>#REF!</v>
      </c>
      <c r="CN58" s="34" t="e">
        <f>AND(#REF!,"AAAAAH19v1s=")</f>
        <v>#REF!</v>
      </c>
      <c r="CO58" s="34" t="e">
        <f>AND(#REF!,"AAAAAH19v1w=")</f>
        <v>#REF!</v>
      </c>
      <c r="CP58" s="34" t="e">
        <f>AND(#REF!,"AAAAAH19v10=")</f>
        <v>#REF!</v>
      </c>
      <c r="CQ58" s="34" t="e">
        <f>AND(#REF!,"AAAAAH19v14=")</f>
        <v>#REF!</v>
      </c>
      <c r="CR58" s="34" t="e">
        <f>AND(#REF!,"AAAAAH19v18=")</f>
        <v>#REF!</v>
      </c>
      <c r="CS58" s="34" t="e">
        <f>AND(#REF!,"AAAAAH19v2A=")</f>
        <v>#REF!</v>
      </c>
      <c r="CT58" s="34" t="e">
        <f>AND(#REF!,"AAAAAH19v2E=")</f>
        <v>#REF!</v>
      </c>
      <c r="CU58" s="34" t="e">
        <f>AND(#REF!,"AAAAAH19v2I=")</f>
        <v>#REF!</v>
      </c>
      <c r="CV58" s="34" t="e">
        <f>AND(#REF!,"AAAAAH19v2M=")</f>
        <v>#REF!</v>
      </c>
      <c r="CW58" s="34" t="e">
        <f>AND(#REF!,"AAAAAH19v2Q=")</f>
        <v>#REF!</v>
      </c>
      <c r="CX58" s="34" t="e">
        <f>AND(#REF!,"AAAAAH19v2U=")</f>
        <v>#REF!</v>
      </c>
      <c r="CY58" s="34" t="e">
        <f>AND(#REF!,"AAAAAH19v2Y=")</f>
        <v>#REF!</v>
      </c>
      <c r="CZ58" s="34" t="e">
        <f>AND(#REF!,"AAAAAH19v2c=")</f>
        <v>#REF!</v>
      </c>
      <c r="DA58" s="34" t="e">
        <f>AND(#REF!,"AAAAAH19v2g=")</f>
        <v>#REF!</v>
      </c>
      <c r="DB58" s="34" t="e">
        <f>AND(#REF!,"AAAAAH19v2k=")</f>
        <v>#REF!</v>
      </c>
      <c r="DC58" s="34" t="e">
        <f>IF(#REF!,"AAAAAH19v2o=",0)</f>
        <v>#REF!</v>
      </c>
      <c r="DD58" s="34" t="e">
        <f>AND(#REF!,"AAAAAH19v2s=")</f>
        <v>#REF!</v>
      </c>
      <c r="DE58" s="34" t="e">
        <f>AND(#REF!,"AAAAAH19v2w=")</f>
        <v>#REF!</v>
      </c>
      <c r="DF58" s="34" t="e">
        <f>AND(#REF!,"AAAAAH19v20=")</f>
        <v>#REF!</v>
      </c>
      <c r="DG58" s="34" t="e">
        <f>AND(#REF!,"AAAAAH19v24=")</f>
        <v>#REF!</v>
      </c>
      <c r="DH58" s="34" t="e">
        <f>AND(#REF!,"AAAAAH19v28=")</f>
        <v>#REF!</v>
      </c>
      <c r="DI58" s="34" t="e">
        <f>AND(#REF!,"AAAAAH19v3A=")</f>
        <v>#REF!</v>
      </c>
      <c r="DJ58" s="34" t="e">
        <f>AND(#REF!,"AAAAAH19v3E=")</f>
        <v>#REF!</v>
      </c>
      <c r="DK58" s="34" t="e">
        <f>AND(#REF!,"AAAAAH19v3I=")</f>
        <v>#REF!</v>
      </c>
      <c r="DL58" s="34" t="e">
        <f>AND(#REF!,"AAAAAH19v3M=")</f>
        <v>#REF!</v>
      </c>
      <c r="DM58" s="34" t="e">
        <f>AND(#REF!,"AAAAAH19v3Q=")</f>
        <v>#REF!</v>
      </c>
      <c r="DN58" s="34" t="e">
        <f>AND(#REF!,"AAAAAH19v3U=")</f>
        <v>#REF!</v>
      </c>
      <c r="DO58" s="34" t="e">
        <f>AND(#REF!,"AAAAAH19v3Y=")</f>
        <v>#REF!</v>
      </c>
      <c r="DP58" s="34" t="e">
        <f>AND(#REF!,"AAAAAH19v3c=")</f>
        <v>#REF!</v>
      </c>
      <c r="DQ58" s="34" t="e">
        <f>AND(#REF!,"AAAAAH19v3g=")</f>
        <v>#REF!</v>
      </c>
      <c r="DR58" s="34" t="e">
        <f>AND(#REF!,"AAAAAH19v3k=")</f>
        <v>#REF!</v>
      </c>
      <c r="DS58" s="34" t="e">
        <f>AND(#REF!,"AAAAAH19v3o=")</f>
        <v>#REF!</v>
      </c>
      <c r="DT58" s="34" t="e">
        <f>AND(#REF!,"AAAAAH19v3s=")</f>
        <v>#REF!</v>
      </c>
      <c r="DU58" s="34" t="e">
        <f>AND(#REF!,"AAAAAH19v3w=")</f>
        <v>#REF!</v>
      </c>
      <c r="DV58" s="34" t="e">
        <f>AND(#REF!,"AAAAAH19v30=")</f>
        <v>#REF!</v>
      </c>
      <c r="DW58" s="34" t="e">
        <f>AND(#REF!,"AAAAAH19v34=")</f>
        <v>#REF!</v>
      </c>
      <c r="DX58" s="34" t="e">
        <f>AND(#REF!,"AAAAAH19v38=")</f>
        <v>#REF!</v>
      </c>
      <c r="DY58" s="34" t="e">
        <f>AND(#REF!,"AAAAAH19v4A=")</f>
        <v>#REF!</v>
      </c>
      <c r="DZ58" s="34" t="e">
        <f>AND(#REF!,"AAAAAH19v4E=")</f>
        <v>#REF!</v>
      </c>
      <c r="EA58" s="34" t="e">
        <f>AND(#REF!,"AAAAAH19v4I=")</f>
        <v>#REF!</v>
      </c>
      <c r="EB58" s="34" t="e">
        <f>AND(#REF!,"AAAAAH19v4M=")</f>
        <v>#REF!</v>
      </c>
      <c r="EC58" s="34" t="e">
        <f>AND(#REF!,"AAAAAH19v4Q=")</f>
        <v>#REF!</v>
      </c>
      <c r="ED58" s="34" t="e">
        <f>AND(#REF!,"AAAAAH19v4U=")</f>
        <v>#REF!</v>
      </c>
      <c r="EE58" s="34" t="e">
        <f>AND(#REF!,"AAAAAH19v4Y=")</f>
        <v>#REF!</v>
      </c>
      <c r="EF58" s="34" t="e">
        <f>AND(#REF!,"AAAAAH19v4c=")</f>
        <v>#REF!</v>
      </c>
      <c r="EG58" s="34" t="e">
        <f>AND(#REF!,"AAAAAH19v4g=")</f>
        <v>#REF!</v>
      </c>
      <c r="EH58" s="34" t="e">
        <f>AND(#REF!,"AAAAAH19v4k=")</f>
        <v>#REF!</v>
      </c>
      <c r="EI58" s="34" t="e">
        <f>AND(#REF!,"AAAAAH19v4o=")</f>
        <v>#REF!</v>
      </c>
      <c r="EJ58" s="34" t="e">
        <f>AND(#REF!,"AAAAAH19v4s=")</f>
        <v>#REF!</v>
      </c>
      <c r="EK58" s="34" t="e">
        <f>AND(#REF!,"AAAAAH19v4w=")</f>
        <v>#REF!</v>
      </c>
      <c r="EL58" s="34" t="e">
        <f>AND(#REF!,"AAAAAH19v40=")</f>
        <v>#REF!</v>
      </c>
      <c r="EM58" s="34" t="e">
        <f>AND(#REF!,"AAAAAH19v44=")</f>
        <v>#REF!</v>
      </c>
      <c r="EN58" s="34" t="e">
        <f>AND(#REF!,"AAAAAH19v48=")</f>
        <v>#REF!</v>
      </c>
      <c r="EO58" s="34" t="e">
        <f>AND(#REF!,"AAAAAH19v5A=")</f>
        <v>#REF!</v>
      </c>
      <c r="EP58" s="34" t="e">
        <f>AND(#REF!,"AAAAAH19v5E=")</f>
        <v>#REF!</v>
      </c>
      <c r="EQ58" s="34" t="e">
        <f>AND(#REF!,"AAAAAH19v5I=")</f>
        <v>#REF!</v>
      </c>
      <c r="ER58" s="34" t="e">
        <f>AND(#REF!,"AAAAAH19v5M=")</f>
        <v>#REF!</v>
      </c>
      <c r="ES58" s="34" t="e">
        <f>AND(#REF!,"AAAAAH19v5Q=")</f>
        <v>#REF!</v>
      </c>
      <c r="ET58" s="34" t="e">
        <f>AND(#REF!,"AAAAAH19v5U=")</f>
        <v>#REF!</v>
      </c>
      <c r="EU58" s="34" t="e">
        <f>AND(#REF!,"AAAAAH19v5Y=")</f>
        <v>#REF!</v>
      </c>
      <c r="EV58" s="34" t="e">
        <f>AND(#REF!,"AAAAAH19v5c=")</f>
        <v>#REF!</v>
      </c>
      <c r="EW58" s="34" t="e">
        <f>AND(#REF!,"AAAAAH19v5g=")</f>
        <v>#REF!</v>
      </c>
      <c r="EX58" s="34" t="e">
        <f>AND(#REF!,"AAAAAH19v5k=")</f>
        <v>#REF!</v>
      </c>
      <c r="EY58" s="34" t="e">
        <f>AND(#REF!,"AAAAAH19v5o=")</f>
        <v>#REF!</v>
      </c>
      <c r="EZ58" s="34" t="e">
        <f>AND(#REF!,"AAAAAH19v5s=")</f>
        <v>#REF!</v>
      </c>
      <c r="FA58" s="34" t="e">
        <f>AND(#REF!,"AAAAAH19v5w=")</f>
        <v>#REF!</v>
      </c>
      <c r="FB58" s="34" t="e">
        <f>AND(#REF!,"AAAAAH19v50=")</f>
        <v>#REF!</v>
      </c>
      <c r="FC58" s="34" t="e">
        <f>AND(#REF!,"AAAAAH19v54=")</f>
        <v>#REF!</v>
      </c>
      <c r="FD58" s="34" t="e">
        <f>AND(#REF!,"AAAAAH19v58=")</f>
        <v>#REF!</v>
      </c>
      <c r="FE58" s="34" t="e">
        <f>AND(#REF!,"AAAAAH19v6A=")</f>
        <v>#REF!</v>
      </c>
      <c r="FF58" s="34" t="e">
        <f>AND(#REF!,"AAAAAH19v6E=")</f>
        <v>#REF!</v>
      </c>
      <c r="FG58" s="34" t="e">
        <f>AND(#REF!,"AAAAAH19v6I=")</f>
        <v>#REF!</v>
      </c>
      <c r="FH58" s="34" t="e">
        <f>AND(#REF!,"AAAAAH19v6M=")</f>
        <v>#REF!</v>
      </c>
      <c r="FI58" s="34" t="e">
        <f>AND(#REF!,"AAAAAH19v6Q=")</f>
        <v>#REF!</v>
      </c>
      <c r="FJ58" s="34" t="e">
        <f>AND(#REF!,"AAAAAH19v6U=")</f>
        <v>#REF!</v>
      </c>
      <c r="FK58" s="34" t="e">
        <f>AND(#REF!,"AAAAAH19v6Y=")</f>
        <v>#REF!</v>
      </c>
      <c r="FL58" s="34" t="e">
        <f>AND(#REF!,"AAAAAH19v6c=")</f>
        <v>#REF!</v>
      </c>
      <c r="FM58" s="34" t="e">
        <f>AND(#REF!,"AAAAAH19v6g=")</f>
        <v>#REF!</v>
      </c>
      <c r="FN58" s="34" t="e">
        <f>AND(#REF!,"AAAAAH19v6k=")</f>
        <v>#REF!</v>
      </c>
      <c r="FO58" s="34" t="e">
        <f>AND(#REF!,"AAAAAH19v6o=")</f>
        <v>#REF!</v>
      </c>
      <c r="FP58" s="34" t="e">
        <f>AND(#REF!,"AAAAAH19v6s=")</f>
        <v>#REF!</v>
      </c>
      <c r="FQ58" s="34" t="e">
        <f>AND(#REF!,"AAAAAH19v6w=")</f>
        <v>#REF!</v>
      </c>
      <c r="FR58" s="34" t="e">
        <f>AND(#REF!,"AAAAAH19v60=")</f>
        <v>#REF!</v>
      </c>
      <c r="FS58" s="34" t="e">
        <f>AND(#REF!,"AAAAAH19v64=")</f>
        <v>#REF!</v>
      </c>
      <c r="FT58" s="34" t="e">
        <f>AND(#REF!,"AAAAAH19v68=")</f>
        <v>#REF!</v>
      </c>
      <c r="FU58" s="34" t="e">
        <f>AND(#REF!,"AAAAAH19v7A=")</f>
        <v>#REF!</v>
      </c>
      <c r="FV58" s="34" t="e">
        <f>AND(#REF!,"AAAAAH19v7E=")</f>
        <v>#REF!</v>
      </c>
      <c r="FW58" s="34" t="e">
        <f>AND(#REF!,"AAAAAH19v7I=")</f>
        <v>#REF!</v>
      </c>
      <c r="FX58" s="34" t="e">
        <f>IF(#REF!,"AAAAAH19v7M=",0)</f>
        <v>#REF!</v>
      </c>
      <c r="FY58" s="34" t="e">
        <f>AND(#REF!,"AAAAAH19v7Q=")</f>
        <v>#REF!</v>
      </c>
      <c r="FZ58" s="34" t="e">
        <f>AND(#REF!,"AAAAAH19v7U=")</f>
        <v>#REF!</v>
      </c>
      <c r="GA58" s="34" t="e">
        <f>AND(#REF!,"AAAAAH19v7Y=")</f>
        <v>#REF!</v>
      </c>
      <c r="GB58" s="34" t="e">
        <f>AND(#REF!,"AAAAAH19v7c=")</f>
        <v>#REF!</v>
      </c>
      <c r="GC58" s="34" t="e">
        <f>AND(#REF!,"AAAAAH19v7g=")</f>
        <v>#REF!</v>
      </c>
      <c r="GD58" s="34" t="e">
        <f>AND(#REF!,"AAAAAH19v7k=")</f>
        <v>#REF!</v>
      </c>
      <c r="GE58" s="34" t="e">
        <f>AND(#REF!,"AAAAAH19v7o=")</f>
        <v>#REF!</v>
      </c>
      <c r="GF58" s="34" t="e">
        <f>AND(#REF!,"AAAAAH19v7s=")</f>
        <v>#REF!</v>
      </c>
      <c r="GG58" s="34" t="e">
        <f>AND(#REF!,"AAAAAH19v7w=")</f>
        <v>#REF!</v>
      </c>
      <c r="GH58" s="34" t="e">
        <f>AND(#REF!,"AAAAAH19v70=")</f>
        <v>#REF!</v>
      </c>
      <c r="GI58" s="34" t="e">
        <f>AND(#REF!,"AAAAAH19v74=")</f>
        <v>#REF!</v>
      </c>
      <c r="GJ58" s="34" t="e">
        <f>AND(#REF!,"AAAAAH19v78=")</f>
        <v>#REF!</v>
      </c>
      <c r="GK58" s="34" t="e">
        <f>AND(#REF!,"AAAAAH19v8A=")</f>
        <v>#REF!</v>
      </c>
      <c r="GL58" s="34" t="e">
        <f>AND(#REF!,"AAAAAH19v8E=")</f>
        <v>#REF!</v>
      </c>
      <c r="GM58" s="34" t="e">
        <f>AND(#REF!,"AAAAAH19v8I=")</f>
        <v>#REF!</v>
      </c>
      <c r="GN58" s="34" t="e">
        <f>AND(#REF!,"AAAAAH19v8M=")</f>
        <v>#REF!</v>
      </c>
      <c r="GO58" s="34" t="e">
        <f>AND(#REF!,"AAAAAH19v8Q=")</f>
        <v>#REF!</v>
      </c>
      <c r="GP58" s="34" t="e">
        <f>AND(#REF!,"AAAAAH19v8U=")</f>
        <v>#REF!</v>
      </c>
      <c r="GQ58" s="34" t="e">
        <f>AND(#REF!,"AAAAAH19v8Y=")</f>
        <v>#REF!</v>
      </c>
      <c r="GR58" s="34" t="e">
        <f>AND(#REF!,"AAAAAH19v8c=")</f>
        <v>#REF!</v>
      </c>
      <c r="GS58" s="34" t="e">
        <f>AND(#REF!,"AAAAAH19v8g=")</f>
        <v>#REF!</v>
      </c>
      <c r="GT58" s="34" t="e">
        <f>AND(#REF!,"AAAAAH19v8k=")</f>
        <v>#REF!</v>
      </c>
      <c r="GU58" s="34" t="e">
        <f>AND(#REF!,"AAAAAH19v8o=")</f>
        <v>#REF!</v>
      </c>
      <c r="GV58" s="34" t="e">
        <f>AND(#REF!,"AAAAAH19v8s=")</f>
        <v>#REF!</v>
      </c>
      <c r="GW58" s="34" t="e">
        <f>AND(#REF!,"AAAAAH19v8w=")</f>
        <v>#REF!</v>
      </c>
      <c r="GX58" s="34" t="e">
        <f>AND(#REF!,"AAAAAH19v80=")</f>
        <v>#REF!</v>
      </c>
      <c r="GY58" s="34" t="e">
        <f>AND(#REF!,"AAAAAH19v84=")</f>
        <v>#REF!</v>
      </c>
      <c r="GZ58" s="34" t="e">
        <f>AND(#REF!,"AAAAAH19v88=")</f>
        <v>#REF!</v>
      </c>
      <c r="HA58" s="34" t="e">
        <f>AND(#REF!,"AAAAAH19v9A=")</f>
        <v>#REF!</v>
      </c>
      <c r="HB58" s="34" t="e">
        <f>AND(#REF!,"AAAAAH19v9E=")</f>
        <v>#REF!</v>
      </c>
      <c r="HC58" s="34" t="e">
        <f>AND(#REF!,"AAAAAH19v9I=")</f>
        <v>#REF!</v>
      </c>
      <c r="HD58" s="34" t="e">
        <f>AND(#REF!,"AAAAAH19v9M=")</f>
        <v>#REF!</v>
      </c>
      <c r="HE58" s="34" t="e">
        <f>AND(#REF!,"AAAAAH19v9Q=")</f>
        <v>#REF!</v>
      </c>
      <c r="HF58" s="34" t="e">
        <f>AND(#REF!,"AAAAAH19v9U=")</f>
        <v>#REF!</v>
      </c>
      <c r="HG58" s="34" t="e">
        <f>AND(#REF!,"AAAAAH19v9Y=")</f>
        <v>#REF!</v>
      </c>
      <c r="HH58" s="34" t="e">
        <f>AND(#REF!,"AAAAAH19v9c=")</f>
        <v>#REF!</v>
      </c>
      <c r="HI58" s="34" t="e">
        <f>AND(#REF!,"AAAAAH19v9g=")</f>
        <v>#REF!</v>
      </c>
      <c r="HJ58" s="34" t="e">
        <f>AND(#REF!,"AAAAAH19v9k=")</f>
        <v>#REF!</v>
      </c>
      <c r="HK58" s="34" t="e">
        <f>AND(#REF!,"AAAAAH19v9o=")</f>
        <v>#REF!</v>
      </c>
      <c r="HL58" s="34" t="e">
        <f>AND(#REF!,"AAAAAH19v9s=")</f>
        <v>#REF!</v>
      </c>
      <c r="HM58" s="34" t="e">
        <f>AND(#REF!,"AAAAAH19v9w=")</f>
        <v>#REF!</v>
      </c>
      <c r="HN58" s="34" t="e">
        <f>AND(#REF!,"AAAAAH19v90=")</f>
        <v>#REF!</v>
      </c>
      <c r="HO58" s="34" t="e">
        <f>AND(#REF!,"AAAAAH19v94=")</f>
        <v>#REF!</v>
      </c>
      <c r="HP58" s="34" t="e">
        <f>AND(#REF!,"AAAAAH19v98=")</f>
        <v>#REF!</v>
      </c>
      <c r="HQ58" s="34" t="e">
        <f>AND(#REF!,"AAAAAH19v+A=")</f>
        <v>#REF!</v>
      </c>
      <c r="HR58" s="34" t="e">
        <f>AND(#REF!,"AAAAAH19v+E=")</f>
        <v>#REF!</v>
      </c>
      <c r="HS58" s="34" t="e">
        <f>AND(#REF!,"AAAAAH19v+I=")</f>
        <v>#REF!</v>
      </c>
      <c r="HT58" s="34" t="e">
        <f>AND(#REF!,"AAAAAH19v+M=")</f>
        <v>#REF!</v>
      </c>
      <c r="HU58" s="34" t="e">
        <f>AND(#REF!,"AAAAAH19v+Q=")</f>
        <v>#REF!</v>
      </c>
      <c r="HV58" s="34" t="e">
        <f>AND(#REF!,"AAAAAH19v+U=")</f>
        <v>#REF!</v>
      </c>
      <c r="HW58" s="34" t="e">
        <f>AND(#REF!,"AAAAAH19v+Y=")</f>
        <v>#REF!</v>
      </c>
      <c r="HX58" s="34" t="e">
        <f>AND(#REF!,"AAAAAH19v+c=")</f>
        <v>#REF!</v>
      </c>
      <c r="HY58" s="34" t="e">
        <f>AND(#REF!,"AAAAAH19v+g=")</f>
        <v>#REF!</v>
      </c>
      <c r="HZ58" s="34" t="e">
        <f>AND(#REF!,"AAAAAH19v+k=")</f>
        <v>#REF!</v>
      </c>
      <c r="IA58" s="34" t="e">
        <f>AND(#REF!,"AAAAAH19v+o=")</f>
        <v>#REF!</v>
      </c>
      <c r="IB58" s="34" t="e">
        <f>AND(#REF!,"AAAAAH19v+s=")</f>
        <v>#REF!</v>
      </c>
      <c r="IC58" s="34" t="e">
        <f>AND(#REF!,"AAAAAH19v+w=")</f>
        <v>#REF!</v>
      </c>
      <c r="ID58" s="34" t="e">
        <f>AND(#REF!,"AAAAAH19v+0=")</f>
        <v>#REF!</v>
      </c>
      <c r="IE58" s="34" t="e">
        <f>AND(#REF!,"AAAAAH19v+4=")</f>
        <v>#REF!</v>
      </c>
      <c r="IF58" s="34" t="e">
        <f>AND(#REF!,"AAAAAH19v+8=")</f>
        <v>#REF!</v>
      </c>
      <c r="IG58" s="34" t="e">
        <f>AND(#REF!,"AAAAAH19v/A=")</f>
        <v>#REF!</v>
      </c>
      <c r="IH58" s="34" t="e">
        <f>AND(#REF!,"AAAAAH19v/E=")</f>
        <v>#REF!</v>
      </c>
      <c r="II58" s="34" t="e">
        <f>AND(#REF!,"AAAAAH19v/I=")</f>
        <v>#REF!</v>
      </c>
      <c r="IJ58" s="34" t="e">
        <f>AND(#REF!,"AAAAAH19v/M=")</f>
        <v>#REF!</v>
      </c>
      <c r="IK58" s="34" t="e">
        <f>AND(#REF!,"AAAAAH19v/Q=")</f>
        <v>#REF!</v>
      </c>
      <c r="IL58" s="34" t="e">
        <f>AND(#REF!,"AAAAAH19v/U=")</f>
        <v>#REF!</v>
      </c>
      <c r="IM58" s="34" t="e">
        <f>AND(#REF!,"AAAAAH19v/Y=")</f>
        <v>#REF!</v>
      </c>
      <c r="IN58" s="34" t="e">
        <f>AND(#REF!,"AAAAAH19v/c=")</f>
        <v>#REF!</v>
      </c>
      <c r="IO58" s="34" t="e">
        <f>AND(#REF!,"AAAAAH19v/g=")</f>
        <v>#REF!</v>
      </c>
      <c r="IP58" s="34" t="e">
        <f>AND(#REF!,"AAAAAH19v/k=")</f>
        <v>#REF!</v>
      </c>
      <c r="IQ58" s="34" t="e">
        <f>AND(#REF!,"AAAAAH19v/o=")</f>
        <v>#REF!</v>
      </c>
      <c r="IR58" s="34" t="e">
        <f>AND(#REF!,"AAAAAH19v/s=")</f>
        <v>#REF!</v>
      </c>
      <c r="IS58" s="34" t="e">
        <f>IF(#REF!,"AAAAAH19v/w=",0)</f>
        <v>#REF!</v>
      </c>
      <c r="IT58" s="34" t="e">
        <f>AND(#REF!,"AAAAAH19v/0=")</f>
        <v>#REF!</v>
      </c>
      <c r="IU58" s="34" t="e">
        <f>AND(#REF!,"AAAAAH19v/4=")</f>
        <v>#REF!</v>
      </c>
      <c r="IV58" s="34" t="e">
        <f>AND(#REF!,"AAAAAH19v/8=")</f>
        <v>#REF!</v>
      </c>
    </row>
    <row r="59" spans="1:256" ht="12.75" customHeight="1" x14ac:dyDescent="0.2">
      <c r="A59" s="34" t="e">
        <f>AND(#REF!,"AAAAAGb3uwA=")</f>
        <v>#REF!</v>
      </c>
      <c r="B59" s="34" t="e">
        <f>AND(#REF!,"AAAAAGb3uwE=")</f>
        <v>#REF!</v>
      </c>
      <c r="C59" s="34" t="e">
        <f>AND(#REF!,"AAAAAGb3uwI=")</f>
        <v>#REF!</v>
      </c>
      <c r="D59" s="34" t="e">
        <f>AND(#REF!,"AAAAAGb3uwM=")</f>
        <v>#REF!</v>
      </c>
      <c r="E59" s="34" t="e">
        <f>AND(#REF!,"AAAAAGb3uwQ=")</f>
        <v>#REF!</v>
      </c>
      <c r="F59" s="34" t="e">
        <f>AND(#REF!,"AAAAAGb3uwU=")</f>
        <v>#REF!</v>
      </c>
      <c r="G59" s="34" t="e">
        <f>AND(#REF!,"AAAAAGb3uwY=")</f>
        <v>#REF!</v>
      </c>
      <c r="H59" s="34" t="e">
        <f>AND(#REF!,"AAAAAGb3uwc=")</f>
        <v>#REF!</v>
      </c>
      <c r="I59" s="34" t="e">
        <f>AND(#REF!,"AAAAAGb3uwg=")</f>
        <v>#REF!</v>
      </c>
      <c r="J59" s="34" t="e">
        <f>AND(#REF!,"AAAAAGb3uwk=")</f>
        <v>#REF!</v>
      </c>
      <c r="K59" s="34" t="e">
        <f>AND(#REF!,"AAAAAGb3uwo=")</f>
        <v>#REF!</v>
      </c>
      <c r="L59" s="34" t="e">
        <f>AND(#REF!,"AAAAAGb3uws=")</f>
        <v>#REF!</v>
      </c>
      <c r="M59" s="34" t="e">
        <f>AND(#REF!,"AAAAAGb3uww=")</f>
        <v>#REF!</v>
      </c>
      <c r="N59" s="34" t="e">
        <f>AND(#REF!,"AAAAAGb3uw0=")</f>
        <v>#REF!</v>
      </c>
      <c r="O59" s="34" t="e">
        <f>AND(#REF!,"AAAAAGb3uw4=")</f>
        <v>#REF!</v>
      </c>
      <c r="P59" s="34" t="e">
        <f>AND(#REF!,"AAAAAGb3uw8=")</f>
        <v>#REF!</v>
      </c>
      <c r="Q59" s="34" t="e">
        <f>AND(#REF!,"AAAAAGb3uxA=")</f>
        <v>#REF!</v>
      </c>
      <c r="R59" s="34" t="e">
        <f>AND(#REF!,"AAAAAGb3uxE=")</f>
        <v>#REF!</v>
      </c>
      <c r="S59" s="34" t="e">
        <f>AND(#REF!,"AAAAAGb3uxI=")</f>
        <v>#REF!</v>
      </c>
      <c r="T59" s="34" t="e">
        <f>AND(#REF!,"AAAAAGb3uxM=")</f>
        <v>#REF!</v>
      </c>
      <c r="U59" s="34" t="e">
        <f>AND(#REF!,"AAAAAGb3uxQ=")</f>
        <v>#REF!</v>
      </c>
      <c r="V59" s="34" t="e">
        <f>AND(#REF!,"AAAAAGb3uxU=")</f>
        <v>#REF!</v>
      </c>
      <c r="W59" s="34" t="e">
        <f>AND(#REF!,"AAAAAGb3uxY=")</f>
        <v>#REF!</v>
      </c>
      <c r="X59" s="34" t="e">
        <f>AND(#REF!,"AAAAAGb3uxc=")</f>
        <v>#REF!</v>
      </c>
      <c r="Y59" s="34" t="e">
        <f>AND(#REF!,"AAAAAGb3uxg=")</f>
        <v>#REF!</v>
      </c>
      <c r="Z59" s="34" t="e">
        <f>AND(#REF!,"AAAAAGb3uxk=")</f>
        <v>#REF!</v>
      </c>
      <c r="AA59" s="34" t="e">
        <f>AND(#REF!,"AAAAAGb3uxo=")</f>
        <v>#REF!</v>
      </c>
      <c r="AB59" s="34" t="e">
        <f>AND(#REF!,"AAAAAGb3uxs=")</f>
        <v>#REF!</v>
      </c>
      <c r="AC59" s="34" t="e">
        <f>AND(#REF!,"AAAAAGb3uxw=")</f>
        <v>#REF!</v>
      </c>
      <c r="AD59" s="34" t="e">
        <f>AND(#REF!,"AAAAAGb3ux0=")</f>
        <v>#REF!</v>
      </c>
      <c r="AE59" s="34" t="e">
        <f>AND(#REF!,"AAAAAGb3ux4=")</f>
        <v>#REF!</v>
      </c>
      <c r="AF59" s="34" t="e">
        <f>AND(#REF!,"AAAAAGb3ux8=")</f>
        <v>#REF!</v>
      </c>
      <c r="AG59" s="34" t="e">
        <f>AND(#REF!,"AAAAAGb3uyA=")</f>
        <v>#REF!</v>
      </c>
      <c r="AH59" s="34" t="e">
        <f>AND(#REF!,"AAAAAGb3uyE=")</f>
        <v>#REF!</v>
      </c>
      <c r="AI59" s="34" t="e">
        <f>AND(#REF!,"AAAAAGb3uyI=")</f>
        <v>#REF!</v>
      </c>
      <c r="AJ59" s="34" t="e">
        <f>AND(#REF!,"AAAAAGb3uyM=")</f>
        <v>#REF!</v>
      </c>
      <c r="AK59" s="34" t="e">
        <f>AND(#REF!,"AAAAAGb3uyQ=")</f>
        <v>#REF!</v>
      </c>
      <c r="AL59" s="34" t="e">
        <f>AND(#REF!,"AAAAAGb3uyU=")</f>
        <v>#REF!</v>
      </c>
      <c r="AM59" s="34" t="e">
        <f>AND(#REF!,"AAAAAGb3uyY=")</f>
        <v>#REF!</v>
      </c>
      <c r="AN59" s="34" t="e">
        <f>AND(#REF!,"AAAAAGb3uyc=")</f>
        <v>#REF!</v>
      </c>
      <c r="AO59" s="34" t="e">
        <f>AND(#REF!,"AAAAAGb3uyg=")</f>
        <v>#REF!</v>
      </c>
      <c r="AP59" s="34" t="e">
        <f>AND(#REF!,"AAAAAGb3uyk=")</f>
        <v>#REF!</v>
      </c>
      <c r="AQ59" s="34" t="e">
        <f>AND(#REF!,"AAAAAGb3uyo=")</f>
        <v>#REF!</v>
      </c>
      <c r="AR59" s="34" t="e">
        <f>AND(#REF!,"AAAAAGb3uys=")</f>
        <v>#REF!</v>
      </c>
      <c r="AS59" s="34" t="e">
        <f>AND(#REF!,"AAAAAGb3uyw=")</f>
        <v>#REF!</v>
      </c>
      <c r="AT59" s="34" t="e">
        <f>AND(#REF!,"AAAAAGb3uy0=")</f>
        <v>#REF!</v>
      </c>
      <c r="AU59" s="34" t="e">
        <f>AND(#REF!,"AAAAAGb3uy4=")</f>
        <v>#REF!</v>
      </c>
      <c r="AV59" s="34" t="e">
        <f>AND(#REF!,"AAAAAGb3uy8=")</f>
        <v>#REF!</v>
      </c>
      <c r="AW59" s="34" t="e">
        <f>AND(#REF!,"AAAAAGb3uzA=")</f>
        <v>#REF!</v>
      </c>
      <c r="AX59" s="34" t="e">
        <f>AND(#REF!,"AAAAAGb3uzE=")</f>
        <v>#REF!</v>
      </c>
      <c r="AY59" s="34" t="e">
        <f>AND(#REF!,"AAAAAGb3uzI=")</f>
        <v>#REF!</v>
      </c>
      <c r="AZ59" s="34" t="e">
        <f>AND(#REF!,"AAAAAGb3uzM=")</f>
        <v>#REF!</v>
      </c>
      <c r="BA59" s="34" t="e">
        <f>AND(#REF!,"AAAAAGb3uzQ=")</f>
        <v>#REF!</v>
      </c>
      <c r="BB59" s="34" t="e">
        <f>AND(#REF!,"AAAAAGb3uzU=")</f>
        <v>#REF!</v>
      </c>
      <c r="BC59" s="34" t="e">
        <f>AND(#REF!,"AAAAAGb3uzY=")</f>
        <v>#REF!</v>
      </c>
      <c r="BD59" s="34" t="e">
        <f>AND(#REF!,"AAAAAGb3uzc=")</f>
        <v>#REF!</v>
      </c>
      <c r="BE59" s="34" t="e">
        <f>AND(#REF!,"AAAAAGb3uzg=")</f>
        <v>#REF!</v>
      </c>
      <c r="BF59" s="34" t="e">
        <f>AND(#REF!,"AAAAAGb3uzk=")</f>
        <v>#REF!</v>
      </c>
      <c r="BG59" s="34" t="e">
        <f>AND(#REF!,"AAAAAGb3uzo=")</f>
        <v>#REF!</v>
      </c>
      <c r="BH59" s="34" t="e">
        <f>AND(#REF!,"AAAAAGb3uzs=")</f>
        <v>#REF!</v>
      </c>
      <c r="BI59" s="34" t="e">
        <f>AND(#REF!,"AAAAAGb3uzw=")</f>
        <v>#REF!</v>
      </c>
      <c r="BJ59" s="34" t="e">
        <f>AND(#REF!,"AAAAAGb3uz0=")</f>
        <v>#REF!</v>
      </c>
      <c r="BK59" s="34" t="e">
        <f>AND(#REF!,"AAAAAGb3uz4=")</f>
        <v>#REF!</v>
      </c>
      <c r="BL59" s="34" t="e">
        <f>AND(#REF!,"AAAAAGb3uz8=")</f>
        <v>#REF!</v>
      </c>
      <c r="BM59" s="34" t="e">
        <f>AND(#REF!,"AAAAAGb3u0A=")</f>
        <v>#REF!</v>
      </c>
      <c r="BN59" s="34" t="e">
        <f>AND(#REF!,"AAAAAGb3u0E=")</f>
        <v>#REF!</v>
      </c>
      <c r="BO59" s="34" t="e">
        <f>AND(#REF!,"AAAAAGb3u0I=")</f>
        <v>#REF!</v>
      </c>
      <c r="BP59" s="34" t="e">
        <f>AND(#REF!,"AAAAAGb3u0M=")</f>
        <v>#REF!</v>
      </c>
      <c r="BQ59" s="34" t="e">
        <f>AND(#REF!,"AAAAAGb3u0Q=")</f>
        <v>#REF!</v>
      </c>
      <c r="BR59" s="34" t="e">
        <f>IF(#REF!,"AAAAAGb3u0U=",0)</f>
        <v>#REF!</v>
      </c>
      <c r="BS59" s="34" t="e">
        <f>AND(#REF!,"AAAAAGb3u0Y=")</f>
        <v>#REF!</v>
      </c>
      <c r="BT59" s="34" t="e">
        <f>AND(#REF!,"AAAAAGb3u0c=")</f>
        <v>#REF!</v>
      </c>
      <c r="BU59" s="34" t="e">
        <f>AND(#REF!,"AAAAAGb3u0g=")</f>
        <v>#REF!</v>
      </c>
      <c r="BV59" s="34" t="e">
        <f>AND(#REF!,"AAAAAGb3u0k=")</f>
        <v>#REF!</v>
      </c>
      <c r="BW59" s="34" t="e">
        <f>AND(#REF!,"AAAAAGb3u0o=")</f>
        <v>#REF!</v>
      </c>
      <c r="BX59" s="34" t="e">
        <f>AND(#REF!,"AAAAAGb3u0s=")</f>
        <v>#REF!</v>
      </c>
      <c r="BY59" s="34" t="e">
        <f>AND(#REF!,"AAAAAGb3u0w=")</f>
        <v>#REF!</v>
      </c>
      <c r="BZ59" s="34" t="e">
        <f>AND(#REF!,"AAAAAGb3u00=")</f>
        <v>#REF!</v>
      </c>
      <c r="CA59" s="34" t="e">
        <f>AND(#REF!,"AAAAAGb3u04=")</f>
        <v>#REF!</v>
      </c>
      <c r="CB59" s="34" t="e">
        <f>AND(#REF!,"AAAAAGb3u08=")</f>
        <v>#REF!</v>
      </c>
      <c r="CC59" s="34" t="e">
        <f>AND(#REF!,"AAAAAGb3u1A=")</f>
        <v>#REF!</v>
      </c>
      <c r="CD59" s="34" t="e">
        <f>AND(#REF!,"AAAAAGb3u1E=")</f>
        <v>#REF!</v>
      </c>
      <c r="CE59" s="34" t="e">
        <f>AND(#REF!,"AAAAAGb3u1I=")</f>
        <v>#REF!</v>
      </c>
      <c r="CF59" s="34" t="e">
        <f>AND(#REF!,"AAAAAGb3u1M=")</f>
        <v>#REF!</v>
      </c>
      <c r="CG59" s="34" t="e">
        <f>AND(#REF!,"AAAAAGb3u1Q=")</f>
        <v>#REF!</v>
      </c>
      <c r="CH59" s="34" t="e">
        <f>AND(#REF!,"AAAAAGb3u1U=")</f>
        <v>#REF!</v>
      </c>
      <c r="CI59" s="34" t="e">
        <f>AND(#REF!,"AAAAAGb3u1Y=")</f>
        <v>#REF!</v>
      </c>
      <c r="CJ59" s="34" t="e">
        <f>AND(#REF!,"AAAAAGb3u1c=")</f>
        <v>#REF!</v>
      </c>
      <c r="CK59" s="34" t="e">
        <f>AND(#REF!,"AAAAAGb3u1g=")</f>
        <v>#REF!</v>
      </c>
      <c r="CL59" s="34" t="e">
        <f>AND(#REF!,"AAAAAGb3u1k=")</f>
        <v>#REF!</v>
      </c>
      <c r="CM59" s="34" t="e">
        <f>AND(#REF!,"AAAAAGb3u1o=")</f>
        <v>#REF!</v>
      </c>
      <c r="CN59" s="34" t="e">
        <f>AND(#REF!,"AAAAAGb3u1s=")</f>
        <v>#REF!</v>
      </c>
      <c r="CO59" s="34" t="e">
        <f>AND(#REF!,"AAAAAGb3u1w=")</f>
        <v>#REF!</v>
      </c>
      <c r="CP59" s="34" t="e">
        <f>AND(#REF!,"AAAAAGb3u10=")</f>
        <v>#REF!</v>
      </c>
      <c r="CQ59" s="34" t="e">
        <f>AND(#REF!,"AAAAAGb3u14=")</f>
        <v>#REF!</v>
      </c>
      <c r="CR59" s="34" t="e">
        <f>AND(#REF!,"AAAAAGb3u18=")</f>
        <v>#REF!</v>
      </c>
      <c r="CS59" s="34" t="e">
        <f>AND(#REF!,"AAAAAGb3u2A=")</f>
        <v>#REF!</v>
      </c>
      <c r="CT59" s="34" t="e">
        <f>AND(#REF!,"AAAAAGb3u2E=")</f>
        <v>#REF!</v>
      </c>
      <c r="CU59" s="34" t="e">
        <f>AND(#REF!,"AAAAAGb3u2I=")</f>
        <v>#REF!</v>
      </c>
      <c r="CV59" s="34" t="e">
        <f>AND(#REF!,"AAAAAGb3u2M=")</f>
        <v>#REF!</v>
      </c>
      <c r="CW59" s="34" t="e">
        <f>AND(#REF!,"AAAAAGb3u2Q=")</f>
        <v>#REF!</v>
      </c>
      <c r="CX59" s="34" t="e">
        <f>AND(#REF!,"AAAAAGb3u2U=")</f>
        <v>#REF!</v>
      </c>
      <c r="CY59" s="34" t="e">
        <f>AND(#REF!,"AAAAAGb3u2Y=")</f>
        <v>#REF!</v>
      </c>
      <c r="CZ59" s="34" t="e">
        <f>AND(#REF!,"AAAAAGb3u2c=")</f>
        <v>#REF!</v>
      </c>
      <c r="DA59" s="34" t="e">
        <f>AND(#REF!,"AAAAAGb3u2g=")</f>
        <v>#REF!</v>
      </c>
      <c r="DB59" s="34" t="e">
        <f>AND(#REF!,"AAAAAGb3u2k=")</f>
        <v>#REF!</v>
      </c>
      <c r="DC59" s="34" t="e">
        <f>AND(#REF!,"AAAAAGb3u2o=")</f>
        <v>#REF!</v>
      </c>
      <c r="DD59" s="34" t="e">
        <f>AND(#REF!,"AAAAAGb3u2s=")</f>
        <v>#REF!</v>
      </c>
      <c r="DE59" s="34" t="e">
        <f>AND(#REF!,"AAAAAGb3u2w=")</f>
        <v>#REF!</v>
      </c>
      <c r="DF59" s="34" t="e">
        <f>AND(#REF!,"AAAAAGb3u20=")</f>
        <v>#REF!</v>
      </c>
      <c r="DG59" s="34" t="e">
        <f>AND(#REF!,"AAAAAGb3u24=")</f>
        <v>#REF!</v>
      </c>
      <c r="DH59" s="34" t="e">
        <f>AND(#REF!,"AAAAAGb3u28=")</f>
        <v>#REF!</v>
      </c>
      <c r="DI59" s="34" t="e">
        <f>AND(#REF!,"AAAAAGb3u3A=")</f>
        <v>#REF!</v>
      </c>
      <c r="DJ59" s="34" t="e">
        <f>AND(#REF!,"AAAAAGb3u3E=")</f>
        <v>#REF!</v>
      </c>
      <c r="DK59" s="34" t="e">
        <f>AND(#REF!,"AAAAAGb3u3I=")</f>
        <v>#REF!</v>
      </c>
      <c r="DL59" s="34" t="e">
        <f>AND(#REF!,"AAAAAGb3u3M=")</f>
        <v>#REF!</v>
      </c>
      <c r="DM59" s="34" t="e">
        <f>AND(#REF!,"AAAAAGb3u3Q=")</f>
        <v>#REF!</v>
      </c>
      <c r="DN59" s="34" t="e">
        <f>AND(#REF!,"AAAAAGb3u3U=")</f>
        <v>#REF!</v>
      </c>
      <c r="DO59" s="34" t="e">
        <f>AND(#REF!,"AAAAAGb3u3Y=")</f>
        <v>#REF!</v>
      </c>
      <c r="DP59" s="34" t="e">
        <f>AND(#REF!,"AAAAAGb3u3c=")</f>
        <v>#REF!</v>
      </c>
      <c r="DQ59" s="34" t="e">
        <f>AND(#REF!,"AAAAAGb3u3g=")</f>
        <v>#REF!</v>
      </c>
      <c r="DR59" s="34" t="e">
        <f>AND(#REF!,"AAAAAGb3u3k=")</f>
        <v>#REF!</v>
      </c>
      <c r="DS59" s="34" t="e">
        <f>AND(#REF!,"AAAAAGb3u3o=")</f>
        <v>#REF!</v>
      </c>
      <c r="DT59" s="34" t="e">
        <f>AND(#REF!,"AAAAAGb3u3s=")</f>
        <v>#REF!</v>
      </c>
      <c r="DU59" s="34" t="e">
        <f>AND(#REF!,"AAAAAGb3u3w=")</f>
        <v>#REF!</v>
      </c>
      <c r="DV59" s="34" t="e">
        <f>AND(#REF!,"AAAAAGb3u30=")</f>
        <v>#REF!</v>
      </c>
      <c r="DW59" s="34" t="e">
        <f>AND(#REF!,"AAAAAGb3u34=")</f>
        <v>#REF!</v>
      </c>
      <c r="DX59" s="34" t="e">
        <f>AND(#REF!,"AAAAAGb3u38=")</f>
        <v>#REF!</v>
      </c>
      <c r="DY59" s="34" t="e">
        <f>AND(#REF!,"AAAAAGb3u4A=")</f>
        <v>#REF!</v>
      </c>
      <c r="DZ59" s="34" t="e">
        <f>AND(#REF!,"AAAAAGb3u4E=")</f>
        <v>#REF!</v>
      </c>
      <c r="EA59" s="34" t="e">
        <f>AND(#REF!,"AAAAAGb3u4I=")</f>
        <v>#REF!</v>
      </c>
      <c r="EB59" s="34" t="e">
        <f>AND(#REF!,"AAAAAGb3u4M=")</f>
        <v>#REF!</v>
      </c>
      <c r="EC59" s="34" t="e">
        <f>AND(#REF!,"AAAAAGb3u4Q=")</f>
        <v>#REF!</v>
      </c>
      <c r="ED59" s="34" t="e">
        <f>AND(#REF!,"AAAAAGb3u4U=")</f>
        <v>#REF!</v>
      </c>
      <c r="EE59" s="34" t="e">
        <f>AND(#REF!,"AAAAAGb3u4Y=")</f>
        <v>#REF!</v>
      </c>
      <c r="EF59" s="34" t="e">
        <f>AND(#REF!,"AAAAAGb3u4c=")</f>
        <v>#REF!</v>
      </c>
      <c r="EG59" s="34" t="e">
        <f>AND(#REF!,"AAAAAGb3u4g=")</f>
        <v>#REF!</v>
      </c>
      <c r="EH59" s="34" t="e">
        <f>AND(#REF!,"AAAAAGb3u4k=")</f>
        <v>#REF!</v>
      </c>
      <c r="EI59" s="34" t="e">
        <f>AND(#REF!,"AAAAAGb3u4o=")</f>
        <v>#REF!</v>
      </c>
      <c r="EJ59" s="34" t="e">
        <f>AND(#REF!,"AAAAAGb3u4s=")</f>
        <v>#REF!</v>
      </c>
      <c r="EK59" s="34" t="e">
        <f>AND(#REF!,"AAAAAGb3u4w=")</f>
        <v>#REF!</v>
      </c>
      <c r="EL59" s="34" t="e">
        <f>AND(#REF!,"AAAAAGb3u40=")</f>
        <v>#REF!</v>
      </c>
      <c r="EM59" s="34" t="e">
        <f>IF(#REF!,"AAAAAGb3u44=",0)</f>
        <v>#REF!</v>
      </c>
      <c r="EN59" s="34" t="e">
        <f>AND(#REF!,"AAAAAGb3u48=")</f>
        <v>#REF!</v>
      </c>
      <c r="EO59" s="34" t="e">
        <f>AND(#REF!,"AAAAAGb3u5A=")</f>
        <v>#REF!</v>
      </c>
      <c r="EP59" s="34" t="e">
        <f>AND(#REF!,"AAAAAGb3u5E=")</f>
        <v>#REF!</v>
      </c>
      <c r="EQ59" s="34" t="e">
        <f>AND(#REF!,"AAAAAGb3u5I=")</f>
        <v>#REF!</v>
      </c>
      <c r="ER59" s="34" t="e">
        <f>AND(#REF!,"AAAAAGb3u5M=")</f>
        <v>#REF!</v>
      </c>
      <c r="ES59" s="34" t="e">
        <f>AND(#REF!,"AAAAAGb3u5Q=")</f>
        <v>#REF!</v>
      </c>
      <c r="ET59" s="34" t="e">
        <f>AND(#REF!,"AAAAAGb3u5U=")</f>
        <v>#REF!</v>
      </c>
      <c r="EU59" s="34" t="e">
        <f>AND(#REF!,"AAAAAGb3u5Y=")</f>
        <v>#REF!</v>
      </c>
      <c r="EV59" s="34" t="e">
        <f>AND(#REF!,"AAAAAGb3u5c=")</f>
        <v>#REF!</v>
      </c>
      <c r="EW59" s="34" t="e">
        <f>AND(#REF!,"AAAAAGb3u5g=")</f>
        <v>#REF!</v>
      </c>
      <c r="EX59" s="34" t="e">
        <f>AND(#REF!,"AAAAAGb3u5k=")</f>
        <v>#REF!</v>
      </c>
      <c r="EY59" s="34" t="e">
        <f>AND(#REF!,"AAAAAGb3u5o=")</f>
        <v>#REF!</v>
      </c>
      <c r="EZ59" s="34" t="e">
        <f>AND(#REF!,"AAAAAGb3u5s=")</f>
        <v>#REF!</v>
      </c>
      <c r="FA59" s="34" t="e">
        <f>AND(#REF!,"AAAAAGb3u5w=")</f>
        <v>#REF!</v>
      </c>
      <c r="FB59" s="34" t="e">
        <f>AND(#REF!,"AAAAAGb3u50=")</f>
        <v>#REF!</v>
      </c>
      <c r="FC59" s="34" t="e">
        <f>AND(#REF!,"AAAAAGb3u54=")</f>
        <v>#REF!</v>
      </c>
      <c r="FD59" s="34" t="e">
        <f>AND(#REF!,"AAAAAGb3u58=")</f>
        <v>#REF!</v>
      </c>
      <c r="FE59" s="34" t="e">
        <f>AND(#REF!,"AAAAAGb3u6A=")</f>
        <v>#REF!</v>
      </c>
      <c r="FF59" s="34" t="e">
        <f>AND(#REF!,"AAAAAGb3u6E=")</f>
        <v>#REF!</v>
      </c>
      <c r="FG59" s="34" t="e">
        <f>AND(#REF!,"AAAAAGb3u6I=")</f>
        <v>#REF!</v>
      </c>
      <c r="FH59" s="34" t="e">
        <f>AND(#REF!,"AAAAAGb3u6M=")</f>
        <v>#REF!</v>
      </c>
      <c r="FI59" s="34" t="e">
        <f>AND(#REF!,"AAAAAGb3u6Q=")</f>
        <v>#REF!</v>
      </c>
      <c r="FJ59" s="34" t="e">
        <f>AND(#REF!,"AAAAAGb3u6U=")</f>
        <v>#REF!</v>
      </c>
      <c r="FK59" s="34" t="e">
        <f>AND(#REF!,"AAAAAGb3u6Y=")</f>
        <v>#REF!</v>
      </c>
      <c r="FL59" s="34" t="e">
        <f>AND(#REF!,"AAAAAGb3u6c=")</f>
        <v>#REF!</v>
      </c>
      <c r="FM59" s="34" t="e">
        <f>AND(#REF!,"AAAAAGb3u6g=")</f>
        <v>#REF!</v>
      </c>
      <c r="FN59" s="34" t="e">
        <f>AND(#REF!,"AAAAAGb3u6k=")</f>
        <v>#REF!</v>
      </c>
      <c r="FO59" s="34" t="e">
        <f>AND(#REF!,"AAAAAGb3u6o=")</f>
        <v>#REF!</v>
      </c>
      <c r="FP59" s="34" t="e">
        <f>AND(#REF!,"AAAAAGb3u6s=")</f>
        <v>#REF!</v>
      </c>
      <c r="FQ59" s="34" t="e">
        <f>AND(#REF!,"AAAAAGb3u6w=")</f>
        <v>#REF!</v>
      </c>
      <c r="FR59" s="34" t="e">
        <f>AND(#REF!,"AAAAAGb3u60=")</f>
        <v>#REF!</v>
      </c>
      <c r="FS59" s="34" t="e">
        <f>AND(#REF!,"AAAAAGb3u64=")</f>
        <v>#REF!</v>
      </c>
      <c r="FT59" s="34" t="e">
        <f>AND(#REF!,"AAAAAGb3u68=")</f>
        <v>#REF!</v>
      </c>
      <c r="FU59" s="34" t="e">
        <f>AND(#REF!,"AAAAAGb3u7A=")</f>
        <v>#REF!</v>
      </c>
      <c r="FV59" s="34" t="e">
        <f>AND(#REF!,"AAAAAGb3u7E=")</f>
        <v>#REF!</v>
      </c>
      <c r="FW59" s="34" t="e">
        <f>AND(#REF!,"AAAAAGb3u7I=")</f>
        <v>#REF!</v>
      </c>
      <c r="FX59" s="34" t="e">
        <f>AND(#REF!,"AAAAAGb3u7M=")</f>
        <v>#REF!</v>
      </c>
      <c r="FY59" s="34" t="e">
        <f>AND(#REF!,"AAAAAGb3u7Q=")</f>
        <v>#REF!</v>
      </c>
      <c r="FZ59" s="34" t="e">
        <f>AND(#REF!,"AAAAAGb3u7U=")</f>
        <v>#REF!</v>
      </c>
      <c r="GA59" s="34" t="e">
        <f>AND(#REF!,"AAAAAGb3u7Y=")</f>
        <v>#REF!</v>
      </c>
      <c r="GB59" s="34" t="e">
        <f>AND(#REF!,"AAAAAGb3u7c=")</f>
        <v>#REF!</v>
      </c>
      <c r="GC59" s="34" t="e">
        <f>AND(#REF!,"AAAAAGb3u7g=")</f>
        <v>#REF!</v>
      </c>
      <c r="GD59" s="34" t="e">
        <f>AND(#REF!,"AAAAAGb3u7k=")</f>
        <v>#REF!</v>
      </c>
      <c r="GE59" s="34" t="e">
        <f>AND(#REF!,"AAAAAGb3u7o=")</f>
        <v>#REF!</v>
      </c>
      <c r="GF59" s="34" t="e">
        <f>AND(#REF!,"AAAAAGb3u7s=")</f>
        <v>#REF!</v>
      </c>
      <c r="GG59" s="34" t="e">
        <f>AND(#REF!,"AAAAAGb3u7w=")</f>
        <v>#REF!</v>
      </c>
      <c r="GH59" s="34" t="e">
        <f>AND(#REF!,"AAAAAGb3u70=")</f>
        <v>#REF!</v>
      </c>
      <c r="GI59" s="34" t="e">
        <f>AND(#REF!,"AAAAAGb3u74=")</f>
        <v>#REF!</v>
      </c>
      <c r="GJ59" s="34" t="e">
        <f>AND(#REF!,"AAAAAGb3u78=")</f>
        <v>#REF!</v>
      </c>
      <c r="GK59" s="34" t="e">
        <f>AND(#REF!,"AAAAAGb3u8A=")</f>
        <v>#REF!</v>
      </c>
      <c r="GL59" s="34" t="e">
        <f>AND(#REF!,"AAAAAGb3u8E=")</f>
        <v>#REF!</v>
      </c>
      <c r="GM59" s="34" t="e">
        <f>AND(#REF!,"AAAAAGb3u8I=")</f>
        <v>#REF!</v>
      </c>
      <c r="GN59" s="34" t="e">
        <f>AND(#REF!,"AAAAAGb3u8M=")</f>
        <v>#REF!</v>
      </c>
      <c r="GO59" s="34" t="e">
        <f>AND(#REF!,"AAAAAGb3u8Q=")</f>
        <v>#REF!</v>
      </c>
      <c r="GP59" s="34" t="e">
        <f>AND(#REF!,"AAAAAGb3u8U=")</f>
        <v>#REF!</v>
      </c>
      <c r="GQ59" s="34" t="e">
        <f>AND(#REF!,"AAAAAGb3u8Y=")</f>
        <v>#REF!</v>
      </c>
      <c r="GR59" s="34" t="e">
        <f>AND(#REF!,"AAAAAGb3u8c=")</f>
        <v>#REF!</v>
      </c>
      <c r="GS59" s="34" t="e">
        <f>AND(#REF!,"AAAAAGb3u8g=")</f>
        <v>#REF!</v>
      </c>
      <c r="GT59" s="34" t="e">
        <f>AND(#REF!,"AAAAAGb3u8k=")</f>
        <v>#REF!</v>
      </c>
      <c r="GU59" s="34" t="e">
        <f>AND(#REF!,"AAAAAGb3u8o=")</f>
        <v>#REF!</v>
      </c>
      <c r="GV59" s="34" t="e">
        <f>AND(#REF!,"AAAAAGb3u8s=")</f>
        <v>#REF!</v>
      </c>
      <c r="GW59" s="34" t="e">
        <f>AND(#REF!,"AAAAAGb3u8w=")</f>
        <v>#REF!</v>
      </c>
      <c r="GX59" s="34" t="e">
        <f>AND(#REF!,"AAAAAGb3u80=")</f>
        <v>#REF!</v>
      </c>
      <c r="GY59" s="34" t="e">
        <f>AND(#REF!,"AAAAAGb3u84=")</f>
        <v>#REF!</v>
      </c>
      <c r="GZ59" s="34" t="e">
        <f>AND(#REF!,"AAAAAGb3u88=")</f>
        <v>#REF!</v>
      </c>
      <c r="HA59" s="34" t="e">
        <f>AND(#REF!,"AAAAAGb3u9A=")</f>
        <v>#REF!</v>
      </c>
      <c r="HB59" s="34" t="e">
        <f>AND(#REF!,"AAAAAGb3u9E=")</f>
        <v>#REF!</v>
      </c>
      <c r="HC59" s="34" t="e">
        <f>AND(#REF!,"AAAAAGb3u9I=")</f>
        <v>#REF!</v>
      </c>
      <c r="HD59" s="34" t="e">
        <f>AND(#REF!,"AAAAAGb3u9M=")</f>
        <v>#REF!</v>
      </c>
      <c r="HE59" s="34" t="e">
        <f>AND(#REF!,"AAAAAGb3u9Q=")</f>
        <v>#REF!</v>
      </c>
      <c r="HF59" s="34" t="e">
        <f>AND(#REF!,"AAAAAGb3u9U=")</f>
        <v>#REF!</v>
      </c>
      <c r="HG59" s="34" t="e">
        <f>AND(#REF!,"AAAAAGb3u9Y=")</f>
        <v>#REF!</v>
      </c>
      <c r="HH59" s="34" t="e">
        <f>IF(#REF!,"AAAAAGb3u9c=",0)</f>
        <v>#REF!</v>
      </c>
      <c r="HI59" s="34" t="e">
        <f>AND(#REF!,"AAAAAGb3u9g=")</f>
        <v>#REF!</v>
      </c>
      <c r="HJ59" s="34" t="e">
        <f>AND(#REF!,"AAAAAGb3u9k=")</f>
        <v>#REF!</v>
      </c>
      <c r="HK59" s="34" t="e">
        <f>AND(#REF!,"AAAAAGb3u9o=")</f>
        <v>#REF!</v>
      </c>
      <c r="HL59" s="34" t="e">
        <f>AND(#REF!,"AAAAAGb3u9s=")</f>
        <v>#REF!</v>
      </c>
      <c r="HM59" s="34" t="e">
        <f>AND(#REF!,"AAAAAGb3u9w=")</f>
        <v>#REF!</v>
      </c>
      <c r="HN59" s="34" t="e">
        <f>AND(#REF!,"AAAAAGb3u90=")</f>
        <v>#REF!</v>
      </c>
      <c r="HO59" s="34" t="e">
        <f>AND(#REF!,"AAAAAGb3u94=")</f>
        <v>#REF!</v>
      </c>
      <c r="HP59" s="34" t="e">
        <f>AND(#REF!,"AAAAAGb3u98=")</f>
        <v>#REF!</v>
      </c>
      <c r="HQ59" s="34" t="e">
        <f>AND(#REF!,"AAAAAGb3u+A=")</f>
        <v>#REF!</v>
      </c>
      <c r="HR59" s="34" t="e">
        <f>AND(#REF!,"AAAAAGb3u+E=")</f>
        <v>#REF!</v>
      </c>
      <c r="HS59" s="34" t="e">
        <f>AND(#REF!,"AAAAAGb3u+I=")</f>
        <v>#REF!</v>
      </c>
      <c r="HT59" s="34" t="e">
        <f>AND(#REF!,"AAAAAGb3u+M=")</f>
        <v>#REF!</v>
      </c>
      <c r="HU59" s="34" t="e">
        <f>AND(#REF!,"AAAAAGb3u+Q=")</f>
        <v>#REF!</v>
      </c>
      <c r="HV59" s="34" t="e">
        <f>AND(#REF!,"AAAAAGb3u+U=")</f>
        <v>#REF!</v>
      </c>
      <c r="HW59" s="34" t="e">
        <f>AND(#REF!,"AAAAAGb3u+Y=")</f>
        <v>#REF!</v>
      </c>
      <c r="HX59" s="34" t="e">
        <f>AND(#REF!,"AAAAAGb3u+c=")</f>
        <v>#REF!</v>
      </c>
      <c r="HY59" s="34" t="e">
        <f>AND(#REF!,"AAAAAGb3u+g=")</f>
        <v>#REF!</v>
      </c>
      <c r="HZ59" s="34" t="e">
        <f>AND(#REF!,"AAAAAGb3u+k=")</f>
        <v>#REF!</v>
      </c>
      <c r="IA59" s="34" t="e">
        <f>AND(#REF!,"AAAAAGb3u+o=")</f>
        <v>#REF!</v>
      </c>
      <c r="IB59" s="34" t="e">
        <f>AND(#REF!,"AAAAAGb3u+s=")</f>
        <v>#REF!</v>
      </c>
      <c r="IC59" s="34" t="e">
        <f>AND(#REF!,"AAAAAGb3u+w=")</f>
        <v>#REF!</v>
      </c>
      <c r="ID59" s="34" t="e">
        <f>AND(#REF!,"AAAAAGb3u+0=")</f>
        <v>#REF!</v>
      </c>
      <c r="IE59" s="34" t="e">
        <f>AND(#REF!,"AAAAAGb3u+4=")</f>
        <v>#REF!</v>
      </c>
      <c r="IF59" s="34" t="e">
        <f>AND(#REF!,"AAAAAGb3u+8=")</f>
        <v>#REF!</v>
      </c>
      <c r="IG59" s="34" t="e">
        <f>AND(#REF!,"AAAAAGb3u/A=")</f>
        <v>#REF!</v>
      </c>
      <c r="IH59" s="34" t="e">
        <f>AND(#REF!,"AAAAAGb3u/E=")</f>
        <v>#REF!</v>
      </c>
      <c r="II59" s="34" t="e">
        <f>AND(#REF!,"AAAAAGb3u/I=")</f>
        <v>#REF!</v>
      </c>
      <c r="IJ59" s="34" t="e">
        <f>AND(#REF!,"AAAAAGb3u/M=")</f>
        <v>#REF!</v>
      </c>
      <c r="IK59" s="34" t="e">
        <f>AND(#REF!,"AAAAAGb3u/Q=")</f>
        <v>#REF!</v>
      </c>
      <c r="IL59" s="34" t="e">
        <f>AND(#REF!,"AAAAAGb3u/U=")</f>
        <v>#REF!</v>
      </c>
      <c r="IM59" s="34" t="e">
        <f>AND(#REF!,"AAAAAGb3u/Y=")</f>
        <v>#REF!</v>
      </c>
      <c r="IN59" s="34" t="e">
        <f>AND(#REF!,"AAAAAGb3u/c=")</f>
        <v>#REF!</v>
      </c>
      <c r="IO59" s="34" t="e">
        <f>AND(#REF!,"AAAAAGb3u/g=")</f>
        <v>#REF!</v>
      </c>
      <c r="IP59" s="34" t="e">
        <f>AND(#REF!,"AAAAAGb3u/k=")</f>
        <v>#REF!</v>
      </c>
      <c r="IQ59" s="34" t="e">
        <f>AND(#REF!,"AAAAAGb3u/o=")</f>
        <v>#REF!</v>
      </c>
      <c r="IR59" s="34" t="e">
        <f>AND(#REF!,"AAAAAGb3u/s=")</f>
        <v>#REF!</v>
      </c>
      <c r="IS59" s="34" t="e">
        <f>AND(#REF!,"AAAAAGb3u/w=")</f>
        <v>#REF!</v>
      </c>
      <c r="IT59" s="34" t="e">
        <f>AND(#REF!,"AAAAAGb3u/0=")</f>
        <v>#REF!</v>
      </c>
      <c r="IU59" s="34" t="e">
        <f>AND(#REF!,"AAAAAGb3u/4=")</f>
        <v>#REF!</v>
      </c>
      <c r="IV59" s="34" t="e">
        <f>AND(#REF!,"AAAAAGb3u/8=")</f>
        <v>#REF!</v>
      </c>
    </row>
    <row r="60" spans="1:256" ht="12.75" customHeight="1" x14ac:dyDescent="0.2">
      <c r="A60" s="34" t="e">
        <f>AND(#REF!,"AAAAAFv/9QA=")</f>
        <v>#REF!</v>
      </c>
      <c r="B60" s="34" t="e">
        <f>AND(#REF!,"AAAAAFv/9QE=")</f>
        <v>#REF!</v>
      </c>
      <c r="C60" s="34" t="e">
        <f>AND(#REF!,"AAAAAFv/9QI=")</f>
        <v>#REF!</v>
      </c>
      <c r="D60" s="34" t="e">
        <f>AND(#REF!,"AAAAAFv/9QM=")</f>
        <v>#REF!</v>
      </c>
      <c r="E60" s="34" t="e">
        <f>AND(#REF!,"AAAAAFv/9QQ=")</f>
        <v>#REF!</v>
      </c>
      <c r="F60" s="34" t="e">
        <f>AND(#REF!,"AAAAAFv/9QU=")</f>
        <v>#REF!</v>
      </c>
      <c r="G60" s="34" t="e">
        <f>AND(#REF!,"AAAAAFv/9QY=")</f>
        <v>#REF!</v>
      </c>
      <c r="H60" s="34" t="e">
        <f>AND(#REF!,"AAAAAFv/9Qc=")</f>
        <v>#REF!</v>
      </c>
      <c r="I60" s="34" t="e">
        <f>AND(#REF!,"AAAAAFv/9Qg=")</f>
        <v>#REF!</v>
      </c>
      <c r="J60" s="34" t="e">
        <f>AND(#REF!,"AAAAAFv/9Qk=")</f>
        <v>#REF!</v>
      </c>
      <c r="K60" s="34" t="e">
        <f>AND(#REF!,"AAAAAFv/9Qo=")</f>
        <v>#REF!</v>
      </c>
      <c r="L60" s="34" t="e">
        <f>AND(#REF!,"AAAAAFv/9Qs=")</f>
        <v>#REF!</v>
      </c>
      <c r="M60" s="34" t="e">
        <f>AND(#REF!,"AAAAAFv/9Qw=")</f>
        <v>#REF!</v>
      </c>
      <c r="N60" s="34" t="e">
        <f>AND(#REF!,"AAAAAFv/9Q0=")</f>
        <v>#REF!</v>
      </c>
      <c r="O60" s="34" t="e">
        <f>AND(#REF!,"AAAAAFv/9Q4=")</f>
        <v>#REF!</v>
      </c>
      <c r="P60" s="34" t="e">
        <f>AND(#REF!,"AAAAAFv/9Q8=")</f>
        <v>#REF!</v>
      </c>
      <c r="Q60" s="34" t="e">
        <f>AND(#REF!,"AAAAAFv/9RA=")</f>
        <v>#REF!</v>
      </c>
      <c r="R60" s="34" t="e">
        <f>AND(#REF!,"AAAAAFv/9RE=")</f>
        <v>#REF!</v>
      </c>
      <c r="S60" s="34" t="e">
        <f>AND(#REF!,"AAAAAFv/9RI=")</f>
        <v>#REF!</v>
      </c>
      <c r="T60" s="34" t="e">
        <f>AND(#REF!,"AAAAAFv/9RM=")</f>
        <v>#REF!</v>
      </c>
      <c r="U60" s="34" t="e">
        <f>AND(#REF!,"AAAAAFv/9RQ=")</f>
        <v>#REF!</v>
      </c>
      <c r="V60" s="34" t="e">
        <f>AND(#REF!,"AAAAAFv/9RU=")</f>
        <v>#REF!</v>
      </c>
      <c r="W60" s="34" t="e">
        <f>AND(#REF!,"AAAAAFv/9RY=")</f>
        <v>#REF!</v>
      </c>
      <c r="X60" s="34" t="e">
        <f>AND(#REF!,"AAAAAFv/9Rc=")</f>
        <v>#REF!</v>
      </c>
      <c r="Y60" s="34" t="e">
        <f>AND(#REF!,"AAAAAFv/9Rg=")</f>
        <v>#REF!</v>
      </c>
      <c r="Z60" s="34" t="e">
        <f>AND(#REF!,"AAAAAFv/9Rk=")</f>
        <v>#REF!</v>
      </c>
      <c r="AA60" s="34" t="e">
        <f>AND(#REF!,"AAAAAFv/9Ro=")</f>
        <v>#REF!</v>
      </c>
      <c r="AB60" s="34" t="e">
        <f>AND(#REF!,"AAAAAFv/9Rs=")</f>
        <v>#REF!</v>
      </c>
      <c r="AC60" s="34" t="e">
        <f>AND(#REF!,"AAAAAFv/9Rw=")</f>
        <v>#REF!</v>
      </c>
      <c r="AD60" s="34" t="e">
        <f>AND(#REF!,"AAAAAFv/9R0=")</f>
        <v>#REF!</v>
      </c>
      <c r="AE60" s="34" t="e">
        <f>AND(#REF!,"AAAAAFv/9R4=")</f>
        <v>#REF!</v>
      </c>
      <c r="AF60" s="34" t="e">
        <f>AND(#REF!,"AAAAAFv/9R8=")</f>
        <v>#REF!</v>
      </c>
      <c r="AG60" s="34" t="e">
        <f>IF(#REF!,"AAAAAFv/9SA=",0)</f>
        <v>#REF!</v>
      </c>
      <c r="AH60" s="34" t="e">
        <f>AND(#REF!,"AAAAAFv/9SE=")</f>
        <v>#REF!</v>
      </c>
      <c r="AI60" s="34" t="e">
        <f>AND(#REF!,"AAAAAFv/9SI=")</f>
        <v>#REF!</v>
      </c>
      <c r="AJ60" s="34" t="e">
        <f>AND(#REF!,"AAAAAFv/9SM=")</f>
        <v>#REF!</v>
      </c>
      <c r="AK60" s="34" t="e">
        <f>AND(#REF!,"AAAAAFv/9SQ=")</f>
        <v>#REF!</v>
      </c>
      <c r="AL60" s="34" t="e">
        <f>AND(#REF!,"AAAAAFv/9SU=")</f>
        <v>#REF!</v>
      </c>
      <c r="AM60" s="34" t="e">
        <f>AND(#REF!,"AAAAAFv/9SY=")</f>
        <v>#REF!</v>
      </c>
      <c r="AN60" s="34" t="e">
        <f>AND(#REF!,"AAAAAFv/9Sc=")</f>
        <v>#REF!</v>
      </c>
      <c r="AO60" s="34" t="e">
        <f>AND(#REF!,"AAAAAFv/9Sg=")</f>
        <v>#REF!</v>
      </c>
      <c r="AP60" s="34" t="e">
        <f>AND(#REF!,"AAAAAFv/9Sk=")</f>
        <v>#REF!</v>
      </c>
      <c r="AQ60" s="34" t="e">
        <f>AND(#REF!,"AAAAAFv/9So=")</f>
        <v>#REF!</v>
      </c>
      <c r="AR60" s="34" t="e">
        <f>AND(#REF!,"AAAAAFv/9Ss=")</f>
        <v>#REF!</v>
      </c>
      <c r="AS60" s="34" t="e">
        <f>AND(#REF!,"AAAAAFv/9Sw=")</f>
        <v>#REF!</v>
      </c>
      <c r="AT60" s="34" t="e">
        <f>AND(#REF!,"AAAAAFv/9S0=")</f>
        <v>#REF!</v>
      </c>
      <c r="AU60" s="34" t="e">
        <f>AND(#REF!,"AAAAAFv/9S4=")</f>
        <v>#REF!</v>
      </c>
      <c r="AV60" s="34" t="e">
        <f>AND(#REF!,"AAAAAFv/9S8=")</f>
        <v>#REF!</v>
      </c>
      <c r="AW60" s="34" t="e">
        <f>AND(#REF!,"AAAAAFv/9TA=")</f>
        <v>#REF!</v>
      </c>
      <c r="AX60" s="34" t="e">
        <f>AND(#REF!,"AAAAAFv/9TE=")</f>
        <v>#REF!</v>
      </c>
      <c r="AY60" s="34" t="e">
        <f>AND(#REF!,"AAAAAFv/9TI=")</f>
        <v>#REF!</v>
      </c>
      <c r="AZ60" s="34" t="e">
        <f>AND(#REF!,"AAAAAFv/9TM=")</f>
        <v>#REF!</v>
      </c>
      <c r="BA60" s="34" t="e">
        <f>AND(#REF!,"AAAAAFv/9TQ=")</f>
        <v>#REF!</v>
      </c>
      <c r="BB60" s="34" t="e">
        <f>AND(#REF!,"AAAAAFv/9TU=")</f>
        <v>#REF!</v>
      </c>
      <c r="BC60" s="34" t="e">
        <f>AND(#REF!,"AAAAAFv/9TY=")</f>
        <v>#REF!</v>
      </c>
      <c r="BD60" s="34" t="e">
        <f>AND(#REF!,"AAAAAFv/9Tc=")</f>
        <v>#REF!</v>
      </c>
      <c r="BE60" s="34" t="e">
        <f>AND(#REF!,"AAAAAFv/9Tg=")</f>
        <v>#REF!</v>
      </c>
      <c r="BF60" s="34" t="e">
        <f>AND(#REF!,"AAAAAFv/9Tk=")</f>
        <v>#REF!</v>
      </c>
      <c r="BG60" s="34" t="e">
        <f>AND(#REF!,"AAAAAFv/9To=")</f>
        <v>#REF!</v>
      </c>
      <c r="BH60" s="34" t="e">
        <f>AND(#REF!,"AAAAAFv/9Ts=")</f>
        <v>#REF!</v>
      </c>
      <c r="BI60" s="34" t="e">
        <f>AND(#REF!,"AAAAAFv/9Tw=")</f>
        <v>#REF!</v>
      </c>
      <c r="BJ60" s="34" t="e">
        <f>AND(#REF!,"AAAAAFv/9T0=")</f>
        <v>#REF!</v>
      </c>
      <c r="BK60" s="34" t="e">
        <f>AND(#REF!,"AAAAAFv/9T4=")</f>
        <v>#REF!</v>
      </c>
      <c r="BL60" s="34" t="e">
        <f>AND(#REF!,"AAAAAFv/9T8=")</f>
        <v>#REF!</v>
      </c>
      <c r="BM60" s="34" t="e">
        <f>AND(#REF!,"AAAAAFv/9UA=")</f>
        <v>#REF!</v>
      </c>
      <c r="BN60" s="34" t="e">
        <f>AND(#REF!,"AAAAAFv/9UE=")</f>
        <v>#REF!</v>
      </c>
      <c r="BO60" s="34" t="e">
        <f>AND(#REF!,"AAAAAFv/9UI=")</f>
        <v>#REF!</v>
      </c>
      <c r="BP60" s="34" t="e">
        <f>AND(#REF!,"AAAAAFv/9UM=")</f>
        <v>#REF!</v>
      </c>
      <c r="BQ60" s="34" t="e">
        <f>AND(#REF!,"AAAAAFv/9UQ=")</f>
        <v>#REF!</v>
      </c>
      <c r="BR60" s="34" t="e">
        <f>AND(#REF!,"AAAAAFv/9UU=")</f>
        <v>#REF!</v>
      </c>
      <c r="BS60" s="34" t="e">
        <f>AND(#REF!,"AAAAAFv/9UY=")</f>
        <v>#REF!</v>
      </c>
      <c r="BT60" s="34" t="e">
        <f>AND(#REF!,"AAAAAFv/9Uc=")</f>
        <v>#REF!</v>
      </c>
      <c r="BU60" s="34" t="e">
        <f>AND(#REF!,"AAAAAFv/9Ug=")</f>
        <v>#REF!</v>
      </c>
      <c r="BV60" s="34" t="e">
        <f>AND(#REF!,"AAAAAFv/9Uk=")</f>
        <v>#REF!</v>
      </c>
      <c r="BW60" s="34" t="e">
        <f>AND(#REF!,"AAAAAFv/9Uo=")</f>
        <v>#REF!</v>
      </c>
      <c r="BX60" s="34" t="e">
        <f>AND(#REF!,"AAAAAFv/9Us=")</f>
        <v>#REF!</v>
      </c>
      <c r="BY60" s="34" t="e">
        <f>AND(#REF!,"AAAAAFv/9Uw=")</f>
        <v>#REF!</v>
      </c>
      <c r="BZ60" s="34" t="e">
        <f>AND(#REF!,"AAAAAFv/9U0=")</f>
        <v>#REF!</v>
      </c>
      <c r="CA60" s="34" t="e">
        <f>AND(#REF!,"AAAAAFv/9U4=")</f>
        <v>#REF!</v>
      </c>
      <c r="CB60" s="34" t="e">
        <f>AND(#REF!,"AAAAAFv/9U8=")</f>
        <v>#REF!</v>
      </c>
      <c r="CC60" s="34" t="e">
        <f>AND(#REF!,"AAAAAFv/9VA=")</f>
        <v>#REF!</v>
      </c>
      <c r="CD60" s="34" t="e">
        <f>AND(#REF!,"AAAAAFv/9VE=")</f>
        <v>#REF!</v>
      </c>
      <c r="CE60" s="34" t="e">
        <f>AND(#REF!,"AAAAAFv/9VI=")</f>
        <v>#REF!</v>
      </c>
      <c r="CF60" s="34" t="e">
        <f>AND(#REF!,"AAAAAFv/9VM=")</f>
        <v>#REF!</v>
      </c>
      <c r="CG60" s="34" t="e">
        <f>AND(#REF!,"AAAAAFv/9VQ=")</f>
        <v>#REF!</v>
      </c>
      <c r="CH60" s="34" t="e">
        <f>AND(#REF!,"AAAAAFv/9VU=")</f>
        <v>#REF!</v>
      </c>
      <c r="CI60" s="34" t="e">
        <f>AND(#REF!,"AAAAAFv/9VY=")</f>
        <v>#REF!</v>
      </c>
      <c r="CJ60" s="34" t="e">
        <f>AND(#REF!,"AAAAAFv/9Vc=")</f>
        <v>#REF!</v>
      </c>
      <c r="CK60" s="34" t="e">
        <f>AND(#REF!,"AAAAAFv/9Vg=")</f>
        <v>#REF!</v>
      </c>
      <c r="CL60" s="34" t="e">
        <f>AND(#REF!,"AAAAAFv/9Vk=")</f>
        <v>#REF!</v>
      </c>
      <c r="CM60" s="34" t="e">
        <f>AND(#REF!,"AAAAAFv/9Vo=")</f>
        <v>#REF!</v>
      </c>
      <c r="CN60" s="34" t="e">
        <f>AND(#REF!,"AAAAAFv/9Vs=")</f>
        <v>#REF!</v>
      </c>
      <c r="CO60" s="34" t="e">
        <f>AND(#REF!,"AAAAAFv/9Vw=")</f>
        <v>#REF!</v>
      </c>
      <c r="CP60" s="34" t="e">
        <f>AND(#REF!,"AAAAAFv/9V0=")</f>
        <v>#REF!</v>
      </c>
      <c r="CQ60" s="34" t="e">
        <f>AND(#REF!,"AAAAAFv/9V4=")</f>
        <v>#REF!</v>
      </c>
      <c r="CR60" s="34" t="e">
        <f>AND(#REF!,"AAAAAFv/9V8=")</f>
        <v>#REF!</v>
      </c>
      <c r="CS60" s="34" t="e">
        <f>AND(#REF!,"AAAAAFv/9WA=")</f>
        <v>#REF!</v>
      </c>
      <c r="CT60" s="34" t="e">
        <f>AND(#REF!,"AAAAAFv/9WE=")</f>
        <v>#REF!</v>
      </c>
      <c r="CU60" s="34" t="e">
        <f>AND(#REF!,"AAAAAFv/9WI=")</f>
        <v>#REF!</v>
      </c>
      <c r="CV60" s="34" t="e">
        <f>AND(#REF!,"AAAAAFv/9WM=")</f>
        <v>#REF!</v>
      </c>
      <c r="CW60" s="34" t="e">
        <f>AND(#REF!,"AAAAAFv/9WQ=")</f>
        <v>#REF!</v>
      </c>
      <c r="CX60" s="34" t="e">
        <f>AND(#REF!,"AAAAAFv/9WU=")</f>
        <v>#REF!</v>
      </c>
      <c r="CY60" s="34" t="e">
        <f>AND(#REF!,"AAAAAFv/9WY=")</f>
        <v>#REF!</v>
      </c>
      <c r="CZ60" s="34" t="e">
        <f>AND(#REF!,"AAAAAFv/9Wc=")</f>
        <v>#REF!</v>
      </c>
      <c r="DA60" s="34" t="e">
        <f>AND(#REF!,"AAAAAFv/9Wg=")</f>
        <v>#REF!</v>
      </c>
      <c r="DB60" s="34" t="e">
        <f>IF(#REF!,"AAAAAFv/9Wk=",0)</f>
        <v>#REF!</v>
      </c>
      <c r="DC60" s="34" t="e">
        <f>AND(#REF!,"AAAAAFv/9Wo=")</f>
        <v>#REF!</v>
      </c>
      <c r="DD60" s="34" t="e">
        <f>AND(#REF!,"AAAAAFv/9Ws=")</f>
        <v>#REF!</v>
      </c>
      <c r="DE60" s="34" t="e">
        <f>AND(#REF!,"AAAAAFv/9Ww=")</f>
        <v>#REF!</v>
      </c>
      <c r="DF60" s="34" t="e">
        <f>AND(#REF!,"AAAAAFv/9W0=")</f>
        <v>#REF!</v>
      </c>
      <c r="DG60" s="34" t="e">
        <f>AND(#REF!,"AAAAAFv/9W4=")</f>
        <v>#REF!</v>
      </c>
      <c r="DH60" s="34" t="e">
        <f>AND(#REF!,"AAAAAFv/9W8=")</f>
        <v>#REF!</v>
      </c>
      <c r="DI60" s="34" t="e">
        <f>AND(#REF!,"AAAAAFv/9XA=")</f>
        <v>#REF!</v>
      </c>
      <c r="DJ60" s="34" t="e">
        <f>AND(#REF!,"AAAAAFv/9XE=")</f>
        <v>#REF!</v>
      </c>
      <c r="DK60" s="34" t="e">
        <f>AND(#REF!,"AAAAAFv/9XI=")</f>
        <v>#REF!</v>
      </c>
      <c r="DL60" s="34" t="e">
        <f>AND(#REF!,"AAAAAFv/9XM=")</f>
        <v>#REF!</v>
      </c>
      <c r="DM60" s="34" t="e">
        <f>AND(#REF!,"AAAAAFv/9XQ=")</f>
        <v>#REF!</v>
      </c>
      <c r="DN60" s="34" t="e">
        <f>AND(#REF!,"AAAAAFv/9XU=")</f>
        <v>#REF!</v>
      </c>
      <c r="DO60" s="34" t="e">
        <f>AND(#REF!,"AAAAAFv/9XY=")</f>
        <v>#REF!</v>
      </c>
      <c r="DP60" s="34" t="e">
        <f>AND(#REF!,"AAAAAFv/9Xc=")</f>
        <v>#REF!</v>
      </c>
      <c r="DQ60" s="34" t="e">
        <f>AND(#REF!,"AAAAAFv/9Xg=")</f>
        <v>#REF!</v>
      </c>
      <c r="DR60" s="34" t="e">
        <f>AND(#REF!,"AAAAAFv/9Xk=")</f>
        <v>#REF!</v>
      </c>
      <c r="DS60" s="34" t="e">
        <f>AND(#REF!,"AAAAAFv/9Xo=")</f>
        <v>#REF!</v>
      </c>
      <c r="DT60" s="34" t="e">
        <f>AND(#REF!,"AAAAAFv/9Xs=")</f>
        <v>#REF!</v>
      </c>
      <c r="DU60" s="34" t="e">
        <f>AND(#REF!,"AAAAAFv/9Xw=")</f>
        <v>#REF!</v>
      </c>
      <c r="DV60" s="34" t="e">
        <f>AND(#REF!,"AAAAAFv/9X0=")</f>
        <v>#REF!</v>
      </c>
      <c r="DW60" s="34" t="e">
        <f>AND(#REF!,"AAAAAFv/9X4=")</f>
        <v>#REF!</v>
      </c>
      <c r="DX60" s="34" t="e">
        <f>AND(#REF!,"AAAAAFv/9X8=")</f>
        <v>#REF!</v>
      </c>
      <c r="DY60" s="34" t="e">
        <f>AND(#REF!,"AAAAAFv/9YA=")</f>
        <v>#REF!</v>
      </c>
      <c r="DZ60" s="34" t="e">
        <f>AND(#REF!,"AAAAAFv/9YE=")</f>
        <v>#REF!</v>
      </c>
      <c r="EA60" s="34" t="e">
        <f>AND(#REF!,"AAAAAFv/9YI=")</f>
        <v>#REF!</v>
      </c>
      <c r="EB60" s="34" t="e">
        <f>AND(#REF!,"AAAAAFv/9YM=")</f>
        <v>#REF!</v>
      </c>
      <c r="EC60" s="34" t="e">
        <f>AND(#REF!,"AAAAAFv/9YQ=")</f>
        <v>#REF!</v>
      </c>
      <c r="ED60" s="34" t="e">
        <f>AND(#REF!,"AAAAAFv/9YU=")</f>
        <v>#REF!</v>
      </c>
      <c r="EE60" s="34" t="e">
        <f>AND(#REF!,"AAAAAFv/9YY=")</f>
        <v>#REF!</v>
      </c>
      <c r="EF60" s="34" t="e">
        <f>AND(#REF!,"AAAAAFv/9Yc=")</f>
        <v>#REF!</v>
      </c>
      <c r="EG60" s="34" t="e">
        <f>AND(#REF!,"AAAAAFv/9Yg=")</f>
        <v>#REF!</v>
      </c>
      <c r="EH60" s="34" t="e">
        <f>AND(#REF!,"AAAAAFv/9Yk=")</f>
        <v>#REF!</v>
      </c>
      <c r="EI60" s="34" t="e">
        <f>AND(#REF!,"AAAAAFv/9Yo=")</f>
        <v>#REF!</v>
      </c>
      <c r="EJ60" s="34" t="e">
        <f>AND(#REF!,"AAAAAFv/9Ys=")</f>
        <v>#REF!</v>
      </c>
      <c r="EK60" s="34" t="e">
        <f>AND(#REF!,"AAAAAFv/9Yw=")</f>
        <v>#REF!</v>
      </c>
      <c r="EL60" s="34" t="e">
        <f>AND(#REF!,"AAAAAFv/9Y0=")</f>
        <v>#REF!</v>
      </c>
      <c r="EM60" s="34" t="e">
        <f>AND(#REF!,"AAAAAFv/9Y4=")</f>
        <v>#REF!</v>
      </c>
      <c r="EN60" s="34" t="e">
        <f>AND(#REF!,"AAAAAFv/9Y8=")</f>
        <v>#REF!</v>
      </c>
      <c r="EO60" s="34" t="e">
        <f>AND(#REF!,"AAAAAFv/9ZA=")</f>
        <v>#REF!</v>
      </c>
      <c r="EP60" s="34" t="e">
        <f>AND(#REF!,"AAAAAFv/9ZE=")</f>
        <v>#REF!</v>
      </c>
      <c r="EQ60" s="34" t="e">
        <f>AND(#REF!,"AAAAAFv/9ZI=")</f>
        <v>#REF!</v>
      </c>
      <c r="ER60" s="34" t="e">
        <f>AND(#REF!,"AAAAAFv/9ZM=")</f>
        <v>#REF!</v>
      </c>
      <c r="ES60" s="34" t="e">
        <f>AND(#REF!,"AAAAAFv/9ZQ=")</f>
        <v>#REF!</v>
      </c>
      <c r="ET60" s="34" t="e">
        <f>AND(#REF!,"AAAAAFv/9ZU=")</f>
        <v>#REF!</v>
      </c>
      <c r="EU60" s="34" t="e">
        <f>AND(#REF!,"AAAAAFv/9ZY=")</f>
        <v>#REF!</v>
      </c>
      <c r="EV60" s="34" t="e">
        <f>AND(#REF!,"AAAAAFv/9Zc=")</f>
        <v>#REF!</v>
      </c>
      <c r="EW60" s="34" t="e">
        <f>AND(#REF!,"AAAAAFv/9Zg=")</f>
        <v>#REF!</v>
      </c>
      <c r="EX60" s="34" t="e">
        <f>AND(#REF!,"AAAAAFv/9Zk=")</f>
        <v>#REF!</v>
      </c>
      <c r="EY60" s="34" t="e">
        <f>AND(#REF!,"AAAAAFv/9Zo=")</f>
        <v>#REF!</v>
      </c>
      <c r="EZ60" s="34" t="e">
        <f>AND(#REF!,"AAAAAFv/9Zs=")</f>
        <v>#REF!</v>
      </c>
      <c r="FA60" s="34" t="e">
        <f>AND(#REF!,"AAAAAFv/9Zw=")</f>
        <v>#REF!</v>
      </c>
      <c r="FB60" s="34" t="e">
        <f>AND(#REF!,"AAAAAFv/9Z0=")</f>
        <v>#REF!</v>
      </c>
      <c r="FC60" s="34" t="e">
        <f>AND(#REF!,"AAAAAFv/9Z4=")</f>
        <v>#REF!</v>
      </c>
      <c r="FD60" s="34" t="e">
        <f>AND(#REF!,"AAAAAFv/9Z8=")</f>
        <v>#REF!</v>
      </c>
      <c r="FE60" s="34" t="e">
        <f>AND(#REF!,"AAAAAFv/9aA=")</f>
        <v>#REF!</v>
      </c>
      <c r="FF60" s="34" t="e">
        <f>AND(#REF!,"AAAAAFv/9aE=")</f>
        <v>#REF!</v>
      </c>
      <c r="FG60" s="34" t="e">
        <f>AND(#REF!,"AAAAAFv/9aI=")</f>
        <v>#REF!</v>
      </c>
      <c r="FH60" s="34" t="e">
        <f>AND(#REF!,"AAAAAFv/9aM=")</f>
        <v>#REF!</v>
      </c>
      <c r="FI60" s="34" t="e">
        <f>AND(#REF!,"AAAAAFv/9aQ=")</f>
        <v>#REF!</v>
      </c>
      <c r="FJ60" s="34" t="e">
        <f>AND(#REF!,"AAAAAFv/9aU=")</f>
        <v>#REF!</v>
      </c>
      <c r="FK60" s="34" t="e">
        <f>AND(#REF!,"AAAAAFv/9aY=")</f>
        <v>#REF!</v>
      </c>
      <c r="FL60" s="34" t="e">
        <f>AND(#REF!,"AAAAAFv/9ac=")</f>
        <v>#REF!</v>
      </c>
      <c r="FM60" s="34" t="e">
        <f>AND(#REF!,"AAAAAFv/9ag=")</f>
        <v>#REF!</v>
      </c>
      <c r="FN60" s="34" t="e">
        <f>AND(#REF!,"AAAAAFv/9ak=")</f>
        <v>#REF!</v>
      </c>
      <c r="FO60" s="34" t="e">
        <f>AND(#REF!,"AAAAAFv/9ao=")</f>
        <v>#REF!</v>
      </c>
      <c r="FP60" s="34" t="e">
        <f>AND(#REF!,"AAAAAFv/9as=")</f>
        <v>#REF!</v>
      </c>
      <c r="FQ60" s="34" t="e">
        <f>AND(#REF!,"AAAAAFv/9aw=")</f>
        <v>#REF!</v>
      </c>
      <c r="FR60" s="34" t="e">
        <f>AND(#REF!,"AAAAAFv/9a0=")</f>
        <v>#REF!</v>
      </c>
      <c r="FS60" s="34" t="e">
        <f>AND(#REF!,"AAAAAFv/9a4=")</f>
        <v>#REF!</v>
      </c>
      <c r="FT60" s="34" t="e">
        <f>AND(#REF!,"AAAAAFv/9a8=")</f>
        <v>#REF!</v>
      </c>
      <c r="FU60" s="34" t="e">
        <f>AND(#REF!,"AAAAAFv/9bA=")</f>
        <v>#REF!</v>
      </c>
      <c r="FV60" s="34" t="e">
        <f>AND(#REF!,"AAAAAFv/9bE=")</f>
        <v>#REF!</v>
      </c>
      <c r="FW60" s="34" t="e">
        <f>IF(#REF!,"AAAAAFv/9bI=",0)</f>
        <v>#REF!</v>
      </c>
      <c r="FX60" s="34" t="e">
        <f>AND(#REF!,"AAAAAFv/9bM=")</f>
        <v>#REF!</v>
      </c>
      <c r="FY60" s="34" t="e">
        <f>AND(#REF!,"AAAAAFv/9bQ=")</f>
        <v>#REF!</v>
      </c>
      <c r="FZ60" s="34" t="e">
        <f>AND(#REF!,"AAAAAFv/9bU=")</f>
        <v>#REF!</v>
      </c>
      <c r="GA60" s="34" t="e">
        <f>AND(#REF!,"AAAAAFv/9bY=")</f>
        <v>#REF!</v>
      </c>
      <c r="GB60" s="34" t="e">
        <f>AND(#REF!,"AAAAAFv/9bc=")</f>
        <v>#REF!</v>
      </c>
      <c r="GC60" s="34" t="e">
        <f>AND(#REF!,"AAAAAFv/9bg=")</f>
        <v>#REF!</v>
      </c>
      <c r="GD60" s="34" t="e">
        <f>AND(#REF!,"AAAAAFv/9bk=")</f>
        <v>#REF!</v>
      </c>
      <c r="GE60" s="34" t="e">
        <f>AND(#REF!,"AAAAAFv/9bo=")</f>
        <v>#REF!</v>
      </c>
      <c r="GF60" s="34" t="e">
        <f>AND(#REF!,"AAAAAFv/9bs=")</f>
        <v>#REF!</v>
      </c>
      <c r="GG60" s="34" t="e">
        <f>AND(#REF!,"AAAAAFv/9bw=")</f>
        <v>#REF!</v>
      </c>
      <c r="GH60" s="34" t="e">
        <f>AND(#REF!,"AAAAAFv/9b0=")</f>
        <v>#REF!</v>
      </c>
      <c r="GI60" s="34" t="e">
        <f>AND(#REF!,"AAAAAFv/9b4=")</f>
        <v>#REF!</v>
      </c>
      <c r="GJ60" s="34" t="e">
        <f>AND(#REF!,"AAAAAFv/9b8=")</f>
        <v>#REF!</v>
      </c>
      <c r="GK60" s="34" t="e">
        <f>AND(#REF!,"AAAAAFv/9cA=")</f>
        <v>#REF!</v>
      </c>
      <c r="GL60" s="34" t="e">
        <f>AND(#REF!,"AAAAAFv/9cE=")</f>
        <v>#REF!</v>
      </c>
      <c r="GM60" s="34" t="e">
        <f>AND(#REF!,"AAAAAFv/9cI=")</f>
        <v>#REF!</v>
      </c>
      <c r="GN60" s="34" t="e">
        <f>AND(#REF!,"AAAAAFv/9cM=")</f>
        <v>#REF!</v>
      </c>
      <c r="GO60" s="34" t="e">
        <f>AND(#REF!,"AAAAAFv/9cQ=")</f>
        <v>#REF!</v>
      </c>
      <c r="GP60" s="34" t="e">
        <f>AND(#REF!,"AAAAAFv/9cU=")</f>
        <v>#REF!</v>
      </c>
      <c r="GQ60" s="34" t="e">
        <f>AND(#REF!,"AAAAAFv/9cY=")</f>
        <v>#REF!</v>
      </c>
      <c r="GR60" s="34" t="e">
        <f>AND(#REF!,"AAAAAFv/9cc=")</f>
        <v>#REF!</v>
      </c>
      <c r="GS60" s="34" t="e">
        <f>AND(#REF!,"AAAAAFv/9cg=")</f>
        <v>#REF!</v>
      </c>
      <c r="GT60" s="34" t="e">
        <f>AND(#REF!,"AAAAAFv/9ck=")</f>
        <v>#REF!</v>
      </c>
      <c r="GU60" s="34" t="e">
        <f>AND(#REF!,"AAAAAFv/9co=")</f>
        <v>#REF!</v>
      </c>
      <c r="GV60" s="34" t="e">
        <f>AND(#REF!,"AAAAAFv/9cs=")</f>
        <v>#REF!</v>
      </c>
      <c r="GW60" s="34" t="e">
        <f>AND(#REF!,"AAAAAFv/9cw=")</f>
        <v>#REF!</v>
      </c>
      <c r="GX60" s="34" t="e">
        <f>AND(#REF!,"AAAAAFv/9c0=")</f>
        <v>#REF!</v>
      </c>
      <c r="GY60" s="34" t="e">
        <f>AND(#REF!,"AAAAAFv/9c4=")</f>
        <v>#REF!</v>
      </c>
      <c r="GZ60" s="34" t="e">
        <f>AND(#REF!,"AAAAAFv/9c8=")</f>
        <v>#REF!</v>
      </c>
      <c r="HA60" s="34" t="e">
        <f>AND(#REF!,"AAAAAFv/9dA=")</f>
        <v>#REF!</v>
      </c>
      <c r="HB60" s="34" t="e">
        <f>AND(#REF!,"AAAAAFv/9dE=")</f>
        <v>#REF!</v>
      </c>
      <c r="HC60" s="34" t="e">
        <f>AND(#REF!,"AAAAAFv/9dI=")</f>
        <v>#REF!</v>
      </c>
      <c r="HD60" s="34" t="e">
        <f>AND(#REF!,"AAAAAFv/9dM=")</f>
        <v>#REF!</v>
      </c>
      <c r="HE60" s="34" t="e">
        <f>AND(#REF!,"AAAAAFv/9dQ=")</f>
        <v>#REF!</v>
      </c>
      <c r="HF60" s="34" t="e">
        <f>AND(#REF!,"AAAAAFv/9dU=")</f>
        <v>#REF!</v>
      </c>
      <c r="HG60" s="34" t="e">
        <f>AND(#REF!,"AAAAAFv/9dY=")</f>
        <v>#REF!</v>
      </c>
      <c r="HH60" s="34" t="e">
        <f>AND(#REF!,"AAAAAFv/9dc=")</f>
        <v>#REF!</v>
      </c>
      <c r="HI60" s="34" t="e">
        <f>AND(#REF!,"AAAAAFv/9dg=")</f>
        <v>#REF!</v>
      </c>
      <c r="HJ60" s="34" t="e">
        <f>AND(#REF!,"AAAAAFv/9dk=")</f>
        <v>#REF!</v>
      </c>
      <c r="HK60" s="34" t="e">
        <f>AND(#REF!,"AAAAAFv/9do=")</f>
        <v>#REF!</v>
      </c>
      <c r="HL60" s="34" t="e">
        <f>AND(#REF!,"AAAAAFv/9ds=")</f>
        <v>#REF!</v>
      </c>
      <c r="HM60" s="34" t="e">
        <f>AND(#REF!,"AAAAAFv/9dw=")</f>
        <v>#REF!</v>
      </c>
      <c r="HN60" s="34" t="e">
        <f>AND(#REF!,"AAAAAFv/9d0=")</f>
        <v>#REF!</v>
      </c>
      <c r="HO60" s="34" t="e">
        <f>AND(#REF!,"AAAAAFv/9d4=")</f>
        <v>#REF!</v>
      </c>
      <c r="HP60" s="34" t="e">
        <f>AND(#REF!,"AAAAAFv/9d8=")</f>
        <v>#REF!</v>
      </c>
      <c r="HQ60" s="34" t="e">
        <f>AND(#REF!,"AAAAAFv/9eA=")</f>
        <v>#REF!</v>
      </c>
      <c r="HR60" s="34" t="e">
        <f>AND(#REF!,"AAAAAFv/9eE=")</f>
        <v>#REF!</v>
      </c>
      <c r="HS60" s="34" t="e">
        <f>AND(#REF!,"AAAAAFv/9eI=")</f>
        <v>#REF!</v>
      </c>
      <c r="HT60" s="34" t="e">
        <f>AND(#REF!,"AAAAAFv/9eM=")</f>
        <v>#REF!</v>
      </c>
      <c r="HU60" s="34" t="e">
        <f>AND(#REF!,"AAAAAFv/9eQ=")</f>
        <v>#REF!</v>
      </c>
      <c r="HV60" s="34" t="e">
        <f>AND(#REF!,"AAAAAFv/9eU=")</f>
        <v>#REF!</v>
      </c>
      <c r="HW60" s="34" t="e">
        <f>AND(#REF!,"AAAAAFv/9eY=")</f>
        <v>#REF!</v>
      </c>
      <c r="HX60" s="34" t="e">
        <f>AND(#REF!,"AAAAAFv/9ec=")</f>
        <v>#REF!</v>
      </c>
      <c r="HY60" s="34" t="e">
        <f>AND(#REF!,"AAAAAFv/9eg=")</f>
        <v>#REF!</v>
      </c>
      <c r="HZ60" s="34" t="e">
        <f>AND(#REF!,"AAAAAFv/9ek=")</f>
        <v>#REF!</v>
      </c>
      <c r="IA60" s="34" t="e">
        <f>AND(#REF!,"AAAAAFv/9eo=")</f>
        <v>#REF!</v>
      </c>
      <c r="IB60" s="34" t="e">
        <f>AND(#REF!,"AAAAAFv/9es=")</f>
        <v>#REF!</v>
      </c>
      <c r="IC60" s="34" t="e">
        <f>AND(#REF!,"AAAAAFv/9ew=")</f>
        <v>#REF!</v>
      </c>
      <c r="ID60" s="34" t="e">
        <f>AND(#REF!,"AAAAAFv/9e0=")</f>
        <v>#REF!</v>
      </c>
      <c r="IE60" s="34" t="e">
        <f>AND(#REF!,"AAAAAFv/9e4=")</f>
        <v>#REF!</v>
      </c>
      <c r="IF60" s="34" t="e">
        <f>AND(#REF!,"AAAAAFv/9e8=")</f>
        <v>#REF!</v>
      </c>
      <c r="IG60" s="34" t="e">
        <f>AND(#REF!,"AAAAAFv/9fA=")</f>
        <v>#REF!</v>
      </c>
      <c r="IH60" s="34" t="e">
        <f>AND(#REF!,"AAAAAFv/9fE=")</f>
        <v>#REF!</v>
      </c>
      <c r="II60" s="34" t="e">
        <f>AND(#REF!,"AAAAAFv/9fI=")</f>
        <v>#REF!</v>
      </c>
      <c r="IJ60" s="34" t="e">
        <f>AND(#REF!,"AAAAAFv/9fM=")</f>
        <v>#REF!</v>
      </c>
      <c r="IK60" s="34" t="e">
        <f>AND(#REF!,"AAAAAFv/9fQ=")</f>
        <v>#REF!</v>
      </c>
      <c r="IL60" s="34" t="e">
        <f>AND(#REF!,"AAAAAFv/9fU=")</f>
        <v>#REF!</v>
      </c>
      <c r="IM60" s="34" t="e">
        <f>AND(#REF!,"AAAAAFv/9fY=")</f>
        <v>#REF!</v>
      </c>
      <c r="IN60" s="34" t="e">
        <f>AND(#REF!,"AAAAAFv/9fc=")</f>
        <v>#REF!</v>
      </c>
      <c r="IO60" s="34" t="e">
        <f>AND(#REF!,"AAAAAFv/9fg=")</f>
        <v>#REF!</v>
      </c>
      <c r="IP60" s="34" t="e">
        <f>AND(#REF!,"AAAAAFv/9fk=")</f>
        <v>#REF!</v>
      </c>
      <c r="IQ60" s="34" t="e">
        <f>AND(#REF!,"AAAAAFv/9fo=")</f>
        <v>#REF!</v>
      </c>
      <c r="IR60" s="34" t="e">
        <f>IF(#REF!,"AAAAAFv/9fs=",0)</f>
        <v>#REF!</v>
      </c>
      <c r="IS60" s="34" t="e">
        <f>AND(#REF!,"AAAAAFv/9fw=")</f>
        <v>#REF!</v>
      </c>
      <c r="IT60" s="34" t="e">
        <f>AND(#REF!,"AAAAAFv/9f0=")</f>
        <v>#REF!</v>
      </c>
      <c r="IU60" s="34" t="e">
        <f>AND(#REF!,"AAAAAFv/9f4=")</f>
        <v>#REF!</v>
      </c>
      <c r="IV60" s="34" t="e">
        <f>AND(#REF!,"AAAAAFv/9f8=")</f>
        <v>#REF!</v>
      </c>
    </row>
    <row r="61" spans="1:256" ht="12.75" customHeight="1" x14ac:dyDescent="0.2">
      <c r="A61" s="34" t="e">
        <f>AND(#REF!,"AAAAAH///QA=")</f>
        <v>#REF!</v>
      </c>
      <c r="B61" s="34" t="e">
        <f>AND(#REF!,"AAAAAH///QE=")</f>
        <v>#REF!</v>
      </c>
      <c r="C61" s="34" t="e">
        <f>AND(#REF!,"AAAAAH///QI=")</f>
        <v>#REF!</v>
      </c>
      <c r="D61" s="34" t="e">
        <f>AND(#REF!,"AAAAAH///QM=")</f>
        <v>#REF!</v>
      </c>
      <c r="E61" s="34" t="e">
        <f>AND(#REF!,"AAAAAH///QQ=")</f>
        <v>#REF!</v>
      </c>
      <c r="F61" s="34" t="e">
        <f>AND(#REF!,"AAAAAH///QU=")</f>
        <v>#REF!</v>
      </c>
      <c r="G61" s="34" t="e">
        <f>AND(#REF!,"AAAAAH///QY=")</f>
        <v>#REF!</v>
      </c>
      <c r="H61" s="34" t="e">
        <f>AND(#REF!,"AAAAAH///Qc=")</f>
        <v>#REF!</v>
      </c>
      <c r="I61" s="34" t="e">
        <f>AND(#REF!,"AAAAAH///Qg=")</f>
        <v>#REF!</v>
      </c>
      <c r="J61" s="34" t="e">
        <f>AND(#REF!,"AAAAAH///Qk=")</f>
        <v>#REF!</v>
      </c>
      <c r="K61" s="34" t="e">
        <f>AND(#REF!,"AAAAAH///Qo=")</f>
        <v>#REF!</v>
      </c>
      <c r="L61" s="34" t="e">
        <f>AND(#REF!,"AAAAAH///Qs=")</f>
        <v>#REF!</v>
      </c>
      <c r="M61" s="34" t="e">
        <f>AND(#REF!,"AAAAAH///Qw=")</f>
        <v>#REF!</v>
      </c>
      <c r="N61" s="34" t="e">
        <f>AND(#REF!,"AAAAAH///Q0=")</f>
        <v>#REF!</v>
      </c>
      <c r="O61" s="34" t="e">
        <f>AND(#REF!,"AAAAAH///Q4=")</f>
        <v>#REF!</v>
      </c>
      <c r="P61" s="34" t="e">
        <f>AND(#REF!,"AAAAAH///Q8=")</f>
        <v>#REF!</v>
      </c>
      <c r="Q61" s="34" t="e">
        <f>AND(#REF!,"AAAAAH///RA=")</f>
        <v>#REF!</v>
      </c>
      <c r="R61" s="34" t="e">
        <f>AND(#REF!,"AAAAAH///RE=")</f>
        <v>#REF!</v>
      </c>
      <c r="S61" s="34" t="e">
        <f>AND(#REF!,"AAAAAH///RI=")</f>
        <v>#REF!</v>
      </c>
      <c r="T61" s="34" t="e">
        <f>AND(#REF!,"AAAAAH///RM=")</f>
        <v>#REF!</v>
      </c>
      <c r="U61" s="34" t="e">
        <f>AND(#REF!,"AAAAAH///RQ=")</f>
        <v>#REF!</v>
      </c>
      <c r="V61" s="34" t="e">
        <f>AND(#REF!,"AAAAAH///RU=")</f>
        <v>#REF!</v>
      </c>
      <c r="W61" s="34" t="e">
        <f>AND(#REF!,"AAAAAH///RY=")</f>
        <v>#REF!</v>
      </c>
      <c r="X61" s="34" t="e">
        <f>AND(#REF!,"AAAAAH///Rc=")</f>
        <v>#REF!</v>
      </c>
      <c r="Y61" s="34" t="e">
        <f>AND(#REF!,"AAAAAH///Rg=")</f>
        <v>#REF!</v>
      </c>
      <c r="Z61" s="34" t="e">
        <f>AND(#REF!,"AAAAAH///Rk=")</f>
        <v>#REF!</v>
      </c>
      <c r="AA61" s="34" t="e">
        <f>AND(#REF!,"AAAAAH///Ro=")</f>
        <v>#REF!</v>
      </c>
      <c r="AB61" s="34" t="e">
        <f>AND(#REF!,"AAAAAH///Rs=")</f>
        <v>#REF!</v>
      </c>
      <c r="AC61" s="34" t="e">
        <f>AND(#REF!,"AAAAAH///Rw=")</f>
        <v>#REF!</v>
      </c>
      <c r="AD61" s="34" t="e">
        <f>AND(#REF!,"AAAAAH///R0=")</f>
        <v>#REF!</v>
      </c>
      <c r="AE61" s="34" t="e">
        <f>AND(#REF!,"AAAAAH///R4=")</f>
        <v>#REF!</v>
      </c>
      <c r="AF61" s="34" t="e">
        <f>AND(#REF!,"AAAAAH///R8=")</f>
        <v>#REF!</v>
      </c>
      <c r="AG61" s="34" t="e">
        <f>AND(#REF!,"AAAAAH///SA=")</f>
        <v>#REF!</v>
      </c>
      <c r="AH61" s="34" t="e">
        <f>AND(#REF!,"AAAAAH///SE=")</f>
        <v>#REF!</v>
      </c>
      <c r="AI61" s="34" t="e">
        <f>AND(#REF!,"AAAAAH///SI=")</f>
        <v>#REF!</v>
      </c>
      <c r="AJ61" s="34" t="e">
        <f>AND(#REF!,"AAAAAH///SM=")</f>
        <v>#REF!</v>
      </c>
      <c r="AK61" s="34" t="e">
        <f>AND(#REF!,"AAAAAH///SQ=")</f>
        <v>#REF!</v>
      </c>
      <c r="AL61" s="34" t="e">
        <f>AND(#REF!,"AAAAAH///SU=")</f>
        <v>#REF!</v>
      </c>
      <c r="AM61" s="34" t="e">
        <f>AND(#REF!,"AAAAAH///SY=")</f>
        <v>#REF!</v>
      </c>
      <c r="AN61" s="34" t="e">
        <f>AND(#REF!,"AAAAAH///Sc=")</f>
        <v>#REF!</v>
      </c>
      <c r="AO61" s="34" t="e">
        <f>AND(#REF!,"AAAAAH///Sg=")</f>
        <v>#REF!</v>
      </c>
      <c r="AP61" s="34" t="e">
        <f>AND(#REF!,"AAAAAH///Sk=")</f>
        <v>#REF!</v>
      </c>
      <c r="AQ61" s="34" t="e">
        <f>AND(#REF!,"AAAAAH///So=")</f>
        <v>#REF!</v>
      </c>
      <c r="AR61" s="34" t="e">
        <f>AND(#REF!,"AAAAAH///Ss=")</f>
        <v>#REF!</v>
      </c>
      <c r="AS61" s="34" t="e">
        <f>AND(#REF!,"AAAAAH///Sw=")</f>
        <v>#REF!</v>
      </c>
      <c r="AT61" s="34" t="e">
        <f>AND(#REF!,"AAAAAH///S0=")</f>
        <v>#REF!</v>
      </c>
      <c r="AU61" s="34" t="e">
        <f>AND(#REF!,"AAAAAH///S4=")</f>
        <v>#REF!</v>
      </c>
      <c r="AV61" s="34" t="e">
        <f>AND(#REF!,"AAAAAH///S8=")</f>
        <v>#REF!</v>
      </c>
      <c r="AW61" s="34" t="e">
        <f>AND(#REF!,"AAAAAH///TA=")</f>
        <v>#REF!</v>
      </c>
      <c r="AX61" s="34" t="e">
        <f>AND(#REF!,"AAAAAH///TE=")</f>
        <v>#REF!</v>
      </c>
      <c r="AY61" s="34" t="e">
        <f>AND(#REF!,"AAAAAH///TI=")</f>
        <v>#REF!</v>
      </c>
      <c r="AZ61" s="34" t="e">
        <f>AND(#REF!,"AAAAAH///TM=")</f>
        <v>#REF!</v>
      </c>
      <c r="BA61" s="34" t="e">
        <f>AND(#REF!,"AAAAAH///TQ=")</f>
        <v>#REF!</v>
      </c>
      <c r="BB61" s="34" t="e">
        <f>AND(#REF!,"AAAAAH///TU=")</f>
        <v>#REF!</v>
      </c>
      <c r="BC61" s="34" t="e">
        <f>AND(#REF!,"AAAAAH///TY=")</f>
        <v>#REF!</v>
      </c>
      <c r="BD61" s="34" t="e">
        <f>AND(#REF!,"AAAAAH///Tc=")</f>
        <v>#REF!</v>
      </c>
      <c r="BE61" s="34" t="e">
        <f>AND(#REF!,"AAAAAH///Tg=")</f>
        <v>#REF!</v>
      </c>
      <c r="BF61" s="34" t="e">
        <f>AND(#REF!,"AAAAAH///Tk=")</f>
        <v>#REF!</v>
      </c>
      <c r="BG61" s="34" t="e">
        <f>AND(#REF!,"AAAAAH///To=")</f>
        <v>#REF!</v>
      </c>
      <c r="BH61" s="34" t="e">
        <f>AND(#REF!,"AAAAAH///Ts=")</f>
        <v>#REF!</v>
      </c>
      <c r="BI61" s="34" t="e">
        <f>AND(#REF!,"AAAAAH///Tw=")</f>
        <v>#REF!</v>
      </c>
      <c r="BJ61" s="34" t="e">
        <f>AND(#REF!,"AAAAAH///T0=")</f>
        <v>#REF!</v>
      </c>
      <c r="BK61" s="34" t="e">
        <f>AND(#REF!,"AAAAAH///T4=")</f>
        <v>#REF!</v>
      </c>
      <c r="BL61" s="34" t="e">
        <f>AND(#REF!,"AAAAAH///T8=")</f>
        <v>#REF!</v>
      </c>
      <c r="BM61" s="34" t="e">
        <f>AND(#REF!,"AAAAAH///UA=")</f>
        <v>#REF!</v>
      </c>
      <c r="BN61" s="34" t="e">
        <f>AND(#REF!,"AAAAAH///UE=")</f>
        <v>#REF!</v>
      </c>
      <c r="BO61" s="34" t="e">
        <f>AND(#REF!,"AAAAAH///UI=")</f>
        <v>#REF!</v>
      </c>
      <c r="BP61" s="34" t="e">
        <f>AND(#REF!,"AAAAAH///UM=")</f>
        <v>#REF!</v>
      </c>
      <c r="BQ61" s="34" t="e">
        <f>IF(#REF!,"AAAAAH///UQ=",0)</f>
        <v>#REF!</v>
      </c>
      <c r="BR61" s="34" t="e">
        <f>AND(#REF!,"AAAAAH///UU=")</f>
        <v>#REF!</v>
      </c>
      <c r="BS61" s="34" t="e">
        <f>AND(#REF!,"AAAAAH///UY=")</f>
        <v>#REF!</v>
      </c>
      <c r="BT61" s="34" t="e">
        <f>AND(#REF!,"AAAAAH///Uc=")</f>
        <v>#REF!</v>
      </c>
      <c r="BU61" s="34" t="e">
        <f>AND(#REF!,"AAAAAH///Ug=")</f>
        <v>#REF!</v>
      </c>
      <c r="BV61" s="34" t="e">
        <f>AND(#REF!,"AAAAAH///Uk=")</f>
        <v>#REF!</v>
      </c>
      <c r="BW61" s="34" t="e">
        <f>AND(#REF!,"AAAAAH///Uo=")</f>
        <v>#REF!</v>
      </c>
      <c r="BX61" s="34" t="e">
        <f>AND(#REF!,"AAAAAH///Us=")</f>
        <v>#REF!</v>
      </c>
      <c r="BY61" s="34" t="e">
        <f>AND(#REF!,"AAAAAH///Uw=")</f>
        <v>#REF!</v>
      </c>
      <c r="BZ61" s="34" t="e">
        <f>AND(#REF!,"AAAAAH///U0=")</f>
        <v>#REF!</v>
      </c>
      <c r="CA61" s="34" t="e">
        <f>AND(#REF!,"AAAAAH///U4=")</f>
        <v>#REF!</v>
      </c>
      <c r="CB61" s="34" t="e">
        <f>AND(#REF!,"AAAAAH///U8=")</f>
        <v>#REF!</v>
      </c>
      <c r="CC61" s="34" t="e">
        <f>AND(#REF!,"AAAAAH///VA=")</f>
        <v>#REF!</v>
      </c>
      <c r="CD61" s="34" t="e">
        <f>AND(#REF!,"AAAAAH///VE=")</f>
        <v>#REF!</v>
      </c>
      <c r="CE61" s="34" t="e">
        <f>AND(#REF!,"AAAAAH///VI=")</f>
        <v>#REF!</v>
      </c>
      <c r="CF61" s="34" t="e">
        <f>AND(#REF!,"AAAAAH///VM=")</f>
        <v>#REF!</v>
      </c>
      <c r="CG61" s="34" t="e">
        <f>AND(#REF!,"AAAAAH///VQ=")</f>
        <v>#REF!</v>
      </c>
      <c r="CH61" s="34" t="e">
        <f>AND(#REF!,"AAAAAH///VU=")</f>
        <v>#REF!</v>
      </c>
      <c r="CI61" s="34" t="e">
        <f>AND(#REF!,"AAAAAH///VY=")</f>
        <v>#REF!</v>
      </c>
      <c r="CJ61" s="34" t="e">
        <f>AND(#REF!,"AAAAAH///Vc=")</f>
        <v>#REF!</v>
      </c>
      <c r="CK61" s="34" t="e">
        <f>AND(#REF!,"AAAAAH///Vg=")</f>
        <v>#REF!</v>
      </c>
      <c r="CL61" s="34" t="e">
        <f>AND(#REF!,"AAAAAH///Vk=")</f>
        <v>#REF!</v>
      </c>
      <c r="CM61" s="34" t="e">
        <f>AND(#REF!,"AAAAAH///Vo=")</f>
        <v>#REF!</v>
      </c>
      <c r="CN61" s="34" t="e">
        <f>AND(#REF!,"AAAAAH///Vs=")</f>
        <v>#REF!</v>
      </c>
      <c r="CO61" s="34" t="e">
        <f>AND(#REF!,"AAAAAH///Vw=")</f>
        <v>#REF!</v>
      </c>
      <c r="CP61" s="34" t="e">
        <f>AND(#REF!,"AAAAAH///V0=")</f>
        <v>#REF!</v>
      </c>
      <c r="CQ61" s="34" t="e">
        <f>AND(#REF!,"AAAAAH///V4=")</f>
        <v>#REF!</v>
      </c>
      <c r="CR61" s="34" t="e">
        <f>AND(#REF!,"AAAAAH///V8=")</f>
        <v>#REF!</v>
      </c>
      <c r="CS61" s="34" t="e">
        <f>AND(#REF!,"AAAAAH///WA=")</f>
        <v>#REF!</v>
      </c>
      <c r="CT61" s="34" t="e">
        <f>AND(#REF!,"AAAAAH///WE=")</f>
        <v>#REF!</v>
      </c>
      <c r="CU61" s="34" t="e">
        <f>AND(#REF!,"AAAAAH///WI=")</f>
        <v>#REF!</v>
      </c>
      <c r="CV61" s="34" t="e">
        <f>AND(#REF!,"AAAAAH///WM=")</f>
        <v>#REF!</v>
      </c>
      <c r="CW61" s="34" t="e">
        <f>AND(#REF!,"AAAAAH///WQ=")</f>
        <v>#REF!</v>
      </c>
      <c r="CX61" s="34" t="e">
        <f>AND(#REF!,"AAAAAH///WU=")</f>
        <v>#REF!</v>
      </c>
      <c r="CY61" s="34" t="e">
        <f>AND(#REF!,"AAAAAH///WY=")</f>
        <v>#REF!</v>
      </c>
      <c r="CZ61" s="34" t="e">
        <f>AND(#REF!,"AAAAAH///Wc=")</f>
        <v>#REF!</v>
      </c>
      <c r="DA61" s="34" t="e">
        <f>AND(#REF!,"AAAAAH///Wg=")</f>
        <v>#REF!</v>
      </c>
      <c r="DB61" s="34" t="e">
        <f>AND(#REF!,"AAAAAH///Wk=")</f>
        <v>#REF!</v>
      </c>
      <c r="DC61" s="34" t="e">
        <f>AND(#REF!,"AAAAAH///Wo=")</f>
        <v>#REF!</v>
      </c>
      <c r="DD61" s="34" t="e">
        <f>AND(#REF!,"AAAAAH///Ws=")</f>
        <v>#REF!</v>
      </c>
      <c r="DE61" s="34" t="e">
        <f>AND(#REF!,"AAAAAH///Ww=")</f>
        <v>#REF!</v>
      </c>
      <c r="DF61" s="34" t="e">
        <f>AND(#REF!,"AAAAAH///W0=")</f>
        <v>#REF!</v>
      </c>
      <c r="DG61" s="34" t="e">
        <f>AND(#REF!,"AAAAAH///W4=")</f>
        <v>#REF!</v>
      </c>
      <c r="DH61" s="34" t="e">
        <f>AND(#REF!,"AAAAAH///W8=")</f>
        <v>#REF!</v>
      </c>
      <c r="DI61" s="34" t="e">
        <f>AND(#REF!,"AAAAAH///XA=")</f>
        <v>#REF!</v>
      </c>
      <c r="DJ61" s="34" t="e">
        <f>AND(#REF!,"AAAAAH///XE=")</f>
        <v>#REF!</v>
      </c>
      <c r="DK61" s="34" t="e">
        <f>AND(#REF!,"AAAAAH///XI=")</f>
        <v>#REF!</v>
      </c>
      <c r="DL61" s="34" t="e">
        <f>AND(#REF!,"AAAAAH///XM=")</f>
        <v>#REF!</v>
      </c>
      <c r="DM61" s="34" t="e">
        <f>AND(#REF!,"AAAAAH///XQ=")</f>
        <v>#REF!</v>
      </c>
      <c r="DN61" s="34" t="e">
        <f>AND(#REF!,"AAAAAH///XU=")</f>
        <v>#REF!</v>
      </c>
      <c r="DO61" s="34" t="e">
        <f>AND(#REF!,"AAAAAH///XY=")</f>
        <v>#REF!</v>
      </c>
      <c r="DP61" s="34" t="e">
        <f>AND(#REF!,"AAAAAH///Xc=")</f>
        <v>#REF!</v>
      </c>
      <c r="DQ61" s="34" t="e">
        <f>AND(#REF!,"AAAAAH///Xg=")</f>
        <v>#REF!</v>
      </c>
      <c r="DR61" s="34" t="e">
        <f>AND(#REF!,"AAAAAH///Xk=")</f>
        <v>#REF!</v>
      </c>
      <c r="DS61" s="34" t="e">
        <f>AND(#REF!,"AAAAAH///Xo=")</f>
        <v>#REF!</v>
      </c>
      <c r="DT61" s="34" t="e">
        <f>AND(#REF!,"AAAAAH///Xs=")</f>
        <v>#REF!</v>
      </c>
      <c r="DU61" s="34" t="e">
        <f>AND(#REF!,"AAAAAH///Xw=")</f>
        <v>#REF!</v>
      </c>
      <c r="DV61" s="34" t="e">
        <f>AND(#REF!,"AAAAAH///X0=")</f>
        <v>#REF!</v>
      </c>
      <c r="DW61" s="34" t="e">
        <f>AND(#REF!,"AAAAAH///X4=")</f>
        <v>#REF!</v>
      </c>
      <c r="DX61" s="34" t="e">
        <f>AND(#REF!,"AAAAAH///X8=")</f>
        <v>#REF!</v>
      </c>
      <c r="DY61" s="34" t="e">
        <f>AND(#REF!,"AAAAAH///YA=")</f>
        <v>#REF!</v>
      </c>
      <c r="DZ61" s="34" t="e">
        <f>AND(#REF!,"AAAAAH///YE=")</f>
        <v>#REF!</v>
      </c>
      <c r="EA61" s="34" t="e">
        <f>AND(#REF!,"AAAAAH///YI=")</f>
        <v>#REF!</v>
      </c>
      <c r="EB61" s="34" t="e">
        <f>AND(#REF!,"AAAAAH///YM=")</f>
        <v>#REF!</v>
      </c>
      <c r="EC61" s="34" t="e">
        <f>AND(#REF!,"AAAAAH///YQ=")</f>
        <v>#REF!</v>
      </c>
      <c r="ED61" s="34" t="e">
        <f>AND(#REF!,"AAAAAH///YU=")</f>
        <v>#REF!</v>
      </c>
      <c r="EE61" s="34" t="e">
        <f>AND(#REF!,"AAAAAH///YY=")</f>
        <v>#REF!</v>
      </c>
      <c r="EF61" s="34" t="e">
        <f>AND(#REF!,"AAAAAH///Yc=")</f>
        <v>#REF!</v>
      </c>
      <c r="EG61" s="34" t="e">
        <f>AND(#REF!,"AAAAAH///Yg=")</f>
        <v>#REF!</v>
      </c>
      <c r="EH61" s="34" t="e">
        <f>AND(#REF!,"AAAAAH///Yk=")</f>
        <v>#REF!</v>
      </c>
      <c r="EI61" s="34" t="e">
        <f>AND(#REF!,"AAAAAH///Yo=")</f>
        <v>#REF!</v>
      </c>
      <c r="EJ61" s="34" t="e">
        <f>AND(#REF!,"AAAAAH///Ys=")</f>
        <v>#REF!</v>
      </c>
      <c r="EK61" s="34" t="e">
        <f>AND(#REF!,"AAAAAH///Yw=")</f>
        <v>#REF!</v>
      </c>
      <c r="EL61" s="34" t="e">
        <f>IF(#REF!,"AAAAAH///Y0=",0)</f>
        <v>#REF!</v>
      </c>
      <c r="EM61" s="34" t="e">
        <f>AND(#REF!,"AAAAAH///Y4=")</f>
        <v>#REF!</v>
      </c>
      <c r="EN61" s="34" t="e">
        <f>AND(#REF!,"AAAAAH///Y8=")</f>
        <v>#REF!</v>
      </c>
      <c r="EO61" s="34" t="e">
        <f>AND(#REF!,"AAAAAH///ZA=")</f>
        <v>#REF!</v>
      </c>
      <c r="EP61" s="34" t="e">
        <f>AND(#REF!,"AAAAAH///ZE=")</f>
        <v>#REF!</v>
      </c>
      <c r="EQ61" s="34" t="e">
        <f>AND(#REF!,"AAAAAH///ZI=")</f>
        <v>#REF!</v>
      </c>
      <c r="ER61" s="34" t="e">
        <f>AND(#REF!,"AAAAAH///ZM=")</f>
        <v>#REF!</v>
      </c>
      <c r="ES61" s="34" t="e">
        <f>AND(#REF!,"AAAAAH///ZQ=")</f>
        <v>#REF!</v>
      </c>
      <c r="ET61" s="34" t="e">
        <f>AND(#REF!,"AAAAAH///ZU=")</f>
        <v>#REF!</v>
      </c>
      <c r="EU61" s="34" t="e">
        <f>AND(#REF!,"AAAAAH///ZY=")</f>
        <v>#REF!</v>
      </c>
      <c r="EV61" s="34" t="e">
        <f>AND(#REF!,"AAAAAH///Zc=")</f>
        <v>#REF!</v>
      </c>
      <c r="EW61" s="34" t="e">
        <f>AND(#REF!,"AAAAAH///Zg=")</f>
        <v>#REF!</v>
      </c>
      <c r="EX61" s="34" t="e">
        <f>AND(#REF!,"AAAAAH///Zk=")</f>
        <v>#REF!</v>
      </c>
      <c r="EY61" s="34" t="e">
        <f>AND(#REF!,"AAAAAH///Zo=")</f>
        <v>#REF!</v>
      </c>
      <c r="EZ61" s="34" t="e">
        <f>AND(#REF!,"AAAAAH///Zs=")</f>
        <v>#REF!</v>
      </c>
      <c r="FA61" s="34" t="e">
        <f>AND(#REF!,"AAAAAH///Zw=")</f>
        <v>#REF!</v>
      </c>
      <c r="FB61" s="34" t="e">
        <f>AND(#REF!,"AAAAAH///Z0=")</f>
        <v>#REF!</v>
      </c>
      <c r="FC61" s="34" t="e">
        <f>AND(#REF!,"AAAAAH///Z4=")</f>
        <v>#REF!</v>
      </c>
      <c r="FD61" s="34" t="e">
        <f>AND(#REF!,"AAAAAH///Z8=")</f>
        <v>#REF!</v>
      </c>
      <c r="FE61" s="34" t="e">
        <f>AND(#REF!,"AAAAAH///aA=")</f>
        <v>#REF!</v>
      </c>
      <c r="FF61" s="34" t="e">
        <f>AND(#REF!,"AAAAAH///aE=")</f>
        <v>#REF!</v>
      </c>
      <c r="FG61" s="34" t="e">
        <f>AND(#REF!,"AAAAAH///aI=")</f>
        <v>#REF!</v>
      </c>
      <c r="FH61" s="34" t="e">
        <f>AND(#REF!,"AAAAAH///aM=")</f>
        <v>#REF!</v>
      </c>
      <c r="FI61" s="34" t="e">
        <f>AND(#REF!,"AAAAAH///aQ=")</f>
        <v>#REF!</v>
      </c>
      <c r="FJ61" s="34" t="e">
        <f>AND(#REF!,"AAAAAH///aU=")</f>
        <v>#REF!</v>
      </c>
      <c r="FK61" s="34" t="e">
        <f>AND(#REF!,"AAAAAH///aY=")</f>
        <v>#REF!</v>
      </c>
      <c r="FL61" s="34" t="e">
        <f>AND(#REF!,"AAAAAH///ac=")</f>
        <v>#REF!</v>
      </c>
      <c r="FM61" s="34" t="e">
        <f>AND(#REF!,"AAAAAH///ag=")</f>
        <v>#REF!</v>
      </c>
      <c r="FN61" s="34" t="e">
        <f>AND(#REF!,"AAAAAH///ak=")</f>
        <v>#REF!</v>
      </c>
      <c r="FO61" s="34" t="e">
        <f>AND(#REF!,"AAAAAH///ao=")</f>
        <v>#REF!</v>
      </c>
      <c r="FP61" s="34" t="e">
        <f>AND(#REF!,"AAAAAH///as=")</f>
        <v>#REF!</v>
      </c>
      <c r="FQ61" s="34" t="e">
        <f>AND(#REF!,"AAAAAH///aw=")</f>
        <v>#REF!</v>
      </c>
      <c r="FR61" s="34" t="e">
        <f>AND(#REF!,"AAAAAH///a0=")</f>
        <v>#REF!</v>
      </c>
      <c r="FS61" s="34" t="e">
        <f>AND(#REF!,"AAAAAH///a4=")</f>
        <v>#REF!</v>
      </c>
      <c r="FT61" s="34" t="e">
        <f>AND(#REF!,"AAAAAH///a8=")</f>
        <v>#REF!</v>
      </c>
      <c r="FU61" s="34" t="e">
        <f>AND(#REF!,"AAAAAH///bA=")</f>
        <v>#REF!</v>
      </c>
      <c r="FV61" s="34" t="e">
        <f>AND(#REF!,"AAAAAH///bE=")</f>
        <v>#REF!</v>
      </c>
      <c r="FW61" s="34" t="e">
        <f>AND(#REF!,"AAAAAH///bI=")</f>
        <v>#REF!</v>
      </c>
      <c r="FX61" s="34" t="e">
        <f>AND(#REF!,"AAAAAH///bM=")</f>
        <v>#REF!</v>
      </c>
      <c r="FY61" s="34" t="e">
        <f>AND(#REF!,"AAAAAH///bQ=")</f>
        <v>#REF!</v>
      </c>
      <c r="FZ61" s="34" t="e">
        <f>AND(#REF!,"AAAAAH///bU=")</f>
        <v>#REF!</v>
      </c>
      <c r="GA61" s="34" t="e">
        <f>AND(#REF!,"AAAAAH///bY=")</f>
        <v>#REF!</v>
      </c>
      <c r="GB61" s="34" t="e">
        <f>AND(#REF!,"AAAAAH///bc=")</f>
        <v>#REF!</v>
      </c>
      <c r="GC61" s="34" t="e">
        <f>AND(#REF!,"AAAAAH///bg=")</f>
        <v>#REF!</v>
      </c>
      <c r="GD61" s="34" t="e">
        <f>AND(#REF!,"AAAAAH///bk=")</f>
        <v>#REF!</v>
      </c>
      <c r="GE61" s="34" t="e">
        <f>AND(#REF!,"AAAAAH///bo=")</f>
        <v>#REF!</v>
      </c>
      <c r="GF61" s="34" t="e">
        <f>AND(#REF!,"AAAAAH///bs=")</f>
        <v>#REF!</v>
      </c>
      <c r="GG61" s="34" t="e">
        <f>AND(#REF!,"AAAAAH///bw=")</f>
        <v>#REF!</v>
      </c>
      <c r="GH61" s="34" t="e">
        <f>AND(#REF!,"AAAAAH///b0=")</f>
        <v>#REF!</v>
      </c>
      <c r="GI61" s="34" t="e">
        <f>AND(#REF!,"AAAAAH///b4=")</f>
        <v>#REF!</v>
      </c>
      <c r="GJ61" s="34" t="e">
        <f>AND(#REF!,"AAAAAH///b8=")</f>
        <v>#REF!</v>
      </c>
      <c r="GK61" s="34" t="e">
        <f>AND(#REF!,"AAAAAH///cA=")</f>
        <v>#REF!</v>
      </c>
      <c r="GL61" s="34" t="e">
        <f>AND(#REF!,"AAAAAH///cE=")</f>
        <v>#REF!</v>
      </c>
      <c r="GM61" s="34" t="e">
        <f>AND(#REF!,"AAAAAH///cI=")</f>
        <v>#REF!</v>
      </c>
      <c r="GN61" s="34" t="e">
        <f>AND(#REF!,"AAAAAH///cM=")</f>
        <v>#REF!</v>
      </c>
      <c r="GO61" s="34" t="e">
        <f>AND(#REF!,"AAAAAH///cQ=")</f>
        <v>#REF!</v>
      </c>
      <c r="GP61" s="34" t="e">
        <f>AND(#REF!,"AAAAAH///cU=")</f>
        <v>#REF!</v>
      </c>
      <c r="GQ61" s="34" t="e">
        <f>AND(#REF!,"AAAAAH///cY=")</f>
        <v>#REF!</v>
      </c>
      <c r="GR61" s="34" t="e">
        <f>AND(#REF!,"AAAAAH///cc=")</f>
        <v>#REF!</v>
      </c>
      <c r="GS61" s="34" t="e">
        <f>AND(#REF!,"AAAAAH///cg=")</f>
        <v>#REF!</v>
      </c>
      <c r="GT61" s="34" t="e">
        <f>AND(#REF!,"AAAAAH///ck=")</f>
        <v>#REF!</v>
      </c>
      <c r="GU61" s="34" t="e">
        <f>AND(#REF!,"AAAAAH///co=")</f>
        <v>#REF!</v>
      </c>
      <c r="GV61" s="34" t="e">
        <f>AND(#REF!,"AAAAAH///cs=")</f>
        <v>#REF!</v>
      </c>
      <c r="GW61" s="34" t="e">
        <f>AND(#REF!,"AAAAAH///cw=")</f>
        <v>#REF!</v>
      </c>
      <c r="GX61" s="34" t="e">
        <f>AND(#REF!,"AAAAAH///c0=")</f>
        <v>#REF!</v>
      </c>
      <c r="GY61" s="34" t="e">
        <f>AND(#REF!,"AAAAAH///c4=")</f>
        <v>#REF!</v>
      </c>
      <c r="GZ61" s="34" t="e">
        <f>AND(#REF!,"AAAAAH///c8=")</f>
        <v>#REF!</v>
      </c>
      <c r="HA61" s="34" t="e">
        <f>AND(#REF!,"AAAAAH///dA=")</f>
        <v>#REF!</v>
      </c>
      <c r="HB61" s="34" t="e">
        <f>AND(#REF!,"AAAAAH///dE=")</f>
        <v>#REF!</v>
      </c>
      <c r="HC61" s="34" t="e">
        <f>AND(#REF!,"AAAAAH///dI=")</f>
        <v>#REF!</v>
      </c>
      <c r="HD61" s="34" t="e">
        <f>AND(#REF!,"AAAAAH///dM=")</f>
        <v>#REF!</v>
      </c>
      <c r="HE61" s="34" t="e">
        <f>AND(#REF!,"AAAAAH///dQ=")</f>
        <v>#REF!</v>
      </c>
      <c r="HF61" s="34" t="e">
        <f>AND(#REF!,"AAAAAH///dU=")</f>
        <v>#REF!</v>
      </c>
      <c r="HG61" s="34" t="e">
        <f>IF(#REF!,"AAAAAH///dY=",0)</f>
        <v>#REF!</v>
      </c>
      <c r="HH61" s="34" t="e">
        <f>AND(#REF!,"AAAAAH///dc=")</f>
        <v>#REF!</v>
      </c>
      <c r="HI61" s="34" t="e">
        <f>AND(#REF!,"AAAAAH///dg=")</f>
        <v>#REF!</v>
      </c>
      <c r="HJ61" s="34" t="e">
        <f>AND(#REF!,"AAAAAH///dk=")</f>
        <v>#REF!</v>
      </c>
      <c r="HK61" s="34" t="e">
        <f>AND(#REF!,"AAAAAH///do=")</f>
        <v>#REF!</v>
      </c>
      <c r="HL61" s="34" t="e">
        <f>AND(#REF!,"AAAAAH///ds=")</f>
        <v>#REF!</v>
      </c>
      <c r="HM61" s="34" t="e">
        <f>AND(#REF!,"AAAAAH///dw=")</f>
        <v>#REF!</v>
      </c>
      <c r="HN61" s="34" t="e">
        <f>AND(#REF!,"AAAAAH///d0=")</f>
        <v>#REF!</v>
      </c>
      <c r="HO61" s="34" t="e">
        <f>AND(#REF!,"AAAAAH///d4=")</f>
        <v>#REF!</v>
      </c>
      <c r="HP61" s="34" t="e">
        <f>AND(#REF!,"AAAAAH///d8=")</f>
        <v>#REF!</v>
      </c>
      <c r="HQ61" s="34" t="e">
        <f>AND(#REF!,"AAAAAH///eA=")</f>
        <v>#REF!</v>
      </c>
      <c r="HR61" s="34" t="e">
        <f>AND(#REF!,"AAAAAH///eE=")</f>
        <v>#REF!</v>
      </c>
      <c r="HS61" s="34" t="e">
        <f>AND(#REF!,"AAAAAH///eI=")</f>
        <v>#REF!</v>
      </c>
      <c r="HT61" s="34" t="e">
        <f>AND(#REF!,"AAAAAH///eM=")</f>
        <v>#REF!</v>
      </c>
      <c r="HU61" s="34" t="e">
        <f>AND(#REF!,"AAAAAH///eQ=")</f>
        <v>#REF!</v>
      </c>
      <c r="HV61" s="34" t="e">
        <f>AND(#REF!,"AAAAAH///eU=")</f>
        <v>#REF!</v>
      </c>
      <c r="HW61" s="34" t="e">
        <f>AND(#REF!,"AAAAAH///eY=")</f>
        <v>#REF!</v>
      </c>
      <c r="HX61" s="34" t="e">
        <f>AND(#REF!,"AAAAAH///ec=")</f>
        <v>#REF!</v>
      </c>
      <c r="HY61" s="34" t="e">
        <f>AND(#REF!,"AAAAAH///eg=")</f>
        <v>#REF!</v>
      </c>
      <c r="HZ61" s="34" t="e">
        <f>AND(#REF!,"AAAAAH///ek=")</f>
        <v>#REF!</v>
      </c>
      <c r="IA61" s="34" t="e">
        <f>AND(#REF!,"AAAAAH///eo=")</f>
        <v>#REF!</v>
      </c>
      <c r="IB61" s="34" t="e">
        <f>AND(#REF!,"AAAAAH///es=")</f>
        <v>#REF!</v>
      </c>
      <c r="IC61" s="34" t="e">
        <f>AND(#REF!,"AAAAAH///ew=")</f>
        <v>#REF!</v>
      </c>
      <c r="ID61" s="34" t="e">
        <f>AND(#REF!,"AAAAAH///e0=")</f>
        <v>#REF!</v>
      </c>
      <c r="IE61" s="34" t="e">
        <f>AND(#REF!,"AAAAAH///e4=")</f>
        <v>#REF!</v>
      </c>
      <c r="IF61" s="34" t="e">
        <f>AND(#REF!,"AAAAAH///e8=")</f>
        <v>#REF!</v>
      </c>
      <c r="IG61" s="34" t="e">
        <f>AND(#REF!,"AAAAAH///fA=")</f>
        <v>#REF!</v>
      </c>
      <c r="IH61" s="34" t="e">
        <f>AND(#REF!,"AAAAAH///fE=")</f>
        <v>#REF!</v>
      </c>
      <c r="II61" s="34" t="e">
        <f>AND(#REF!,"AAAAAH///fI=")</f>
        <v>#REF!</v>
      </c>
      <c r="IJ61" s="34" t="e">
        <f>AND(#REF!,"AAAAAH///fM=")</f>
        <v>#REF!</v>
      </c>
      <c r="IK61" s="34" t="e">
        <f>AND(#REF!,"AAAAAH///fQ=")</f>
        <v>#REF!</v>
      </c>
      <c r="IL61" s="34" t="e">
        <f>AND(#REF!,"AAAAAH///fU=")</f>
        <v>#REF!</v>
      </c>
      <c r="IM61" s="34" t="e">
        <f>AND(#REF!,"AAAAAH///fY=")</f>
        <v>#REF!</v>
      </c>
      <c r="IN61" s="34" t="e">
        <f>AND(#REF!,"AAAAAH///fc=")</f>
        <v>#REF!</v>
      </c>
      <c r="IO61" s="34" t="e">
        <f>AND(#REF!,"AAAAAH///fg=")</f>
        <v>#REF!</v>
      </c>
      <c r="IP61" s="34" t="e">
        <f>AND(#REF!,"AAAAAH///fk=")</f>
        <v>#REF!</v>
      </c>
      <c r="IQ61" s="34" t="e">
        <f>AND(#REF!,"AAAAAH///fo=")</f>
        <v>#REF!</v>
      </c>
      <c r="IR61" s="34" t="e">
        <f>AND(#REF!,"AAAAAH///fs=")</f>
        <v>#REF!</v>
      </c>
      <c r="IS61" s="34" t="e">
        <f>AND(#REF!,"AAAAAH///fw=")</f>
        <v>#REF!</v>
      </c>
      <c r="IT61" s="34" t="e">
        <f>AND(#REF!,"AAAAAH///f0=")</f>
        <v>#REF!</v>
      </c>
      <c r="IU61" s="34" t="e">
        <f>AND(#REF!,"AAAAAH///f4=")</f>
        <v>#REF!</v>
      </c>
      <c r="IV61" s="34" t="e">
        <f>AND(#REF!,"AAAAAH///f8=")</f>
        <v>#REF!</v>
      </c>
    </row>
    <row r="62" spans="1:256" ht="12.75" customHeight="1" x14ac:dyDescent="0.2">
      <c r="A62" s="34" t="e">
        <f>AND(#REF!,"AAAAAGe+vwA=")</f>
        <v>#REF!</v>
      </c>
      <c r="B62" s="34" t="e">
        <f>AND(#REF!,"AAAAAGe+vwE=")</f>
        <v>#REF!</v>
      </c>
      <c r="C62" s="34" t="e">
        <f>AND(#REF!,"AAAAAGe+vwI=")</f>
        <v>#REF!</v>
      </c>
      <c r="D62" s="34" t="e">
        <f>AND(#REF!,"AAAAAGe+vwM=")</f>
        <v>#REF!</v>
      </c>
      <c r="E62" s="34" t="e">
        <f>AND(#REF!,"AAAAAGe+vwQ=")</f>
        <v>#REF!</v>
      </c>
      <c r="F62" s="34" t="e">
        <f>AND(#REF!,"AAAAAGe+vwU=")</f>
        <v>#REF!</v>
      </c>
      <c r="G62" s="34" t="e">
        <f>AND(#REF!,"AAAAAGe+vwY=")</f>
        <v>#REF!</v>
      </c>
      <c r="H62" s="34" t="e">
        <f>AND(#REF!,"AAAAAGe+vwc=")</f>
        <v>#REF!</v>
      </c>
      <c r="I62" s="34" t="e">
        <f>AND(#REF!,"AAAAAGe+vwg=")</f>
        <v>#REF!</v>
      </c>
      <c r="J62" s="34" t="e">
        <f>AND(#REF!,"AAAAAGe+vwk=")</f>
        <v>#REF!</v>
      </c>
      <c r="K62" s="34" t="e">
        <f>AND(#REF!,"AAAAAGe+vwo=")</f>
        <v>#REF!</v>
      </c>
      <c r="L62" s="34" t="e">
        <f>AND(#REF!,"AAAAAGe+vws=")</f>
        <v>#REF!</v>
      </c>
      <c r="M62" s="34" t="e">
        <f>AND(#REF!,"AAAAAGe+vww=")</f>
        <v>#REF!</v>
      </c>
      <c r="N62" s="34" t="e">
        <f>AND(#REF!,"AAAAAGe+vw0=")</f>
        <v>#REF!</v>
      </c>
      <c r="O62" s="34" t="e">
        <f>AND(#REF!,"AAAAAGe+vw4=")</f>
        <v>#REF!</v>
      </c>
      <c r="P62" s="34" t="e">
        <f>AND(#REF!,"AAAAAGe+vw8=")</f>
        <v>#REF!</v>
      </c>
      <c r="Q62" s="34" t="e">
        <f>AND(#REF!,"AAAAAGe+vxA=")</f>
        <v>#REF!</v>
      </c>
      <c r="R62" s="34" t="e">
        <f>AND(#REF!,"AAAAAGe+vxE=")</f>
        <v>#REF!</v>
      </c>
      <c r="S62" s="34" t="e">
        <f>AND(#REF!,"AAAAAGe+vxI=")</f>
        <v>#REF!</v>
      </c>
      <c r="T62" s="34" t="e">
        <f>AND(#REF!,"AAAAAGe+vxM=")</f>
        <v>#REF!</v>
      </c>
      <c r="U62" s="34" t="e">
        <f>AND(#REF!,"AAAAAGe+vxQ=")</f>
        <v>#REF!</v>
      </c>
      <c r="V62" s="34" t="e">
        <f>AND(#REF!,"AAAAAGe+vxU=")</f>
        <v>#REF!</v>
      </c>
      <c r="W62" s="34" t="e">
        <f>AND(#REF!,"AAAAAGe+vxY=")</f>
        <v>#REF!</v>
      </c>
      <c r="X62" s="34" t="e">
        <f>AND(#REF!,"AAAAAGe+vxc=")</f>
        <v>#REF!</v>
      </c>
      <c r="Y62" s="34" t="e">
        <f>AND(#REF!,"AAAAAGe+vxg=")</f>
        <v>#REF!</v>
      </c>
      <c r="Z62" s="34" t="e">
        <f>AND(#REF!,"AAAAAGe+vxk=")</f>
        <v>#REF!</v>
      </c>
      <c r="AA62" s="34" t="e">
        <f>AND(#REF!,"AAAAAGe+vxo=")</f>
        <v>#REF!</v>
      </c>
      <c r="AB62" s="34" t="e">
        <f>AND(#REF!,"AAAAAGe+vxs=")</f>
        <v>#REF!</v>
      </c>
      <c r="AC62" s="34" t="e">
        <f>AND(#REF!,"AAAAAGe+vxw=")</f>
        <v>#REF!</v>
      </c>
      <c r="AD62" s="34" t="e">
        <f>AND(#REF!,"AAAAAGe+vx0=")</f>
        <v>#REF!</v>
      </c>
      <c r="AE62" s="34" t="e">
        <f>AND(#REF!,"AAAAAGe+vx4=")</f>
        <v>#REF!</v>
      </c>
      <c r="AF62" s="34" t="e">
        <f>IF(#REF!,"AAAAAGe+vx8=",0)</f>
        <v>#REF!</v>
      </c>
      <c r="AG62" s="34" t="e">
        <f>AND(#REF!,"AAAAAGe+vyA=")</f>
        <v>#REF!</v>
      </c>
      <c r="AH62" s="34" t="e">
        <f>AND(#REF!,"AAAAAGe+vyE=")</f>
        <v>#REF!</v>
      </c>
      <c r="AI62" s="34" t="e">
        <f>AND(#REF!,"AAAAAGe+vyI=")</f>
        <v>#REF!</v>
      </c>
      <c r="AJ62" s="34" t="e">
        <f>AND(#REF!,"AAAAAGe+vyM=")</f>
        <v>#REF!</v>
      </c>
      <c r="AK62" s="34" t="e">
        <f>AND(#REF!,"AAAAAGe+vyQ=")</f>
        <v>#REF!</v>
      </c>
      <c r="AL62" s="34" t="e">
        <f>AND(#REF!,"AAAAAGe+vyU=")</f>
        <v>#REF!</v>
      </c>
      <c r="AM62" s="34" t="e">
        <f>AND(#REF!,"AAAAAGe+vyY=")</f>
        <v>#REF!</v>
      </c>
      <c r="AN62" s="34" t="e">
        <f>AND(#REF!,"AAAAAGe+vyc=")</f>
        <v>#REF!</v>
      </c>
      <c r="AO62" s="34" t="e">
        <f>AND(#REF!,"AAAAAGe+vyg=")</f>
        <v>#REF!</v>
      </c>
      <c r="AP62" s="34" t="e">
        <f>AND(#REF!,"AAAAAGe+vyk=")</f>
        <v>#REF!</v>
      </c>
      <c r="AQ62" s="34" t="e">
        <f>AND(#REF!,"AAAAAGe+vyo=")</f>
        <v>#REF!</v>
      </c>
      <c r="AR62" s="34" t="e">
        <f>AND(#REF!,"AAAAAGe+vys=")</f>
        <v>#REF!</v>
      </c>
      <c r="AS62" s="34" t="e">
        <f>AND(#REF!,"AAAAAGe+vyw=")</f>
        <v>#REF!</v>
      </c>
      <c r="AT62" s="34" t="e">
        <f>AND(#REF!,"AAAAAGe+vy0=")</f>
        <v>#REF!</v>
      </c>
      <c r="AU62" s="34" t="e">
        <f>AND(#REF!,"AAAAAGe+vy4=")</f>
        <v>#REF!</v>
      </c>
      <c r="AV62" s="34" t="e">
        <f>AND(#REF!,"AAAAAGe+vy8=")</f>
        <v>#REF!</v>
      </c>
      <c r="AW62" s="34" t="e">
        <f>AND(#REF!,"AAAAAGe+vzA=")</f>
        <v>#REF!</v>
      </c>
      <c r="AX62" s="34" t="e">
        <f>AND(#REF!,"AAAAAGe+vzE=")</f>
        <v>#REF!</v>
      </c>
      <c r="AY62" s="34" t="e">
        <f>AND(#REF!,"AAAAAGe+vzI=")</f>
        <v>#REF!</v>
      </c>
      <c r="AZ62" s="34" t="e">
        <f>AND(#REF!,"AAAAAGe+vzM=")</f>
        <v>#REF!</v>
      </c>
      <c r="BA62" s="34" t="e">
        <f>AND(#REF!,"AAAAAGe+vzQ=")</f>
        <v>#REF!</v>
      </c>
      <c r="BB62" s="34" t="e">
        <f>AND(#REF!,"AAAAAGe+vzU=")</f>
        <v>#REF!</v>
      </c>
      <c r="BC62" s="34" t="e">
        <f>AND(#REF!,"AAAAAGe+vzY=")</f>
        <v>#REF!</v>
      </c>
      <c r="BD62" s="34" t="e">
        <f>AND(#REF!,"AAAAAGe+vzc=")</f>
        <v>#REF!</v>
      </c>
      <c r="BE62" s="34" t="e">
        <f>AND(#REF!,"AAAAAGe+vzg=")</f>
        <v>#REF!</v>
      </c>
      <c r="BF62" s="34" t="e">
        <f>AND(#REF!,"AAAAAGe+vzk=")</f>
        <v>#REF!</v>
      </c>
      <c r="BG62" s="34" t="e">
        <f>AND(#REF!,"AAAAAGe+vzo=")</f>
        <v>#REF!</v>
      </c>
      <c r="BH62" s="34" t="e">
        <f>AND(#REF!,"AAAAAGe+vzs=")</f>
        <v>#REF!</v>
      </c>
      <c r="BI62" s="34" t="e">
        <f>AND(#REF!,"AAAAAGe+vzw=")</f>
        <v>#REF!</v>
      </c>
      <c r="BJ62" s="34" t="e">
        <f>AND(#REF!,"AAAAAGe+vz0=")</f>
        <v>#REF!</v>
      </c>
      <c r="BK62" s="34" t="e">
        <f>AND(#REF!,"AAAAAGe+vz4=")</f>
        <v>#REF!</v>
      </c>
      <c r="BL62" s="34" t="e">
        <f>AND(#REF!,"AAAAAGe+vz8=")</f>
        <v>#REF!</v>
      </c>
      <c r="BM62" s="34" t="e">
        <f>AND(#REF!,"AAAAAGe+v0A=")</f>
        <v>#REF!</v>
      </c>
      <c r="BN62" s="34" t="e">
        <f>AND(#REF!,"AAAAAGe+v0E=")</f>
        <v>#REF!</v>
      </c>
      <c r="BO62" s="34" t="e">
        <f>AND(#REF!,"AAAAAGe+v0I=")</f>
        <v>#REF!</v>
      </c>
      <c r="BP62" s="34" t="e">
        <f>AND(#REF!,"AAAAAGe+v0M=")</f>
        <v>#REF!</v>
      </c>
      <c r="BQ62" s="34" t="e">
        <f>AND(#REF!,"AAAAAGe+v0Q=")</f>
        <v>#REF!</v>
      </c>
      <c r="BR62" s="34" t="e">
        <f>AND(#REF!,"AAAAAGe+v0U=")</f>
        <v>#REF!</v>
      </c>
      <c r="BS62" s="34" t="e">
        <f>AND(#REF!,"AAAAAGe+v0Y=")</f>
        <v>#REF!</v>
      </c>
      <c r="BT62" s="34" t="e">
        <f>AND(#REF!,"AAAAAGe+v0c=")</f>
        <v>#REF!</v>
      </c>
      <c r="BU62" s="34" t="e">
        <f>AND(#REF!,"AAAAAGe+v0g=")</f>
        <v>#REF!</v>
      </c>
      <c r="BV62" s="34" t="e">
        <f>AND(#REF!,"AAAAAGe+v0k=")</f>
        <v>#REF!</v>
      </c>
      <c r="BW62" s="34" t="e">
        <f>AND(#REF!,"AAAAAGe+v0o=")</f>
        <v>#REF!</v>
      </c>
      <c r="BX62" s="34" t="e">
        <f>AND(#REF!,"AAAAAGe+v0s=")</f>
        <v>#REF!</v>
      </c>
      <c r="BY62" s="34" t="e">
        <f>AND(#REF!,"AAAAAGe+v0w=")</f>
        <v>#REF!</v>
      </c>
      <c r="BZ62" s="34" t="e">
        <f>AND(#REF!,"AAAAAGe+v00=")</f>
        <v>#REF!</v>
      </c>
      <c r="CA62" s="34" t="e">
        <f>AND(#REF!,"AAAAAGe+v04=")</f>
        <v>#REF!</v>
      </c>
      <c r="CB62" s="34" t="e">
        <f>AND(#REF!,"AAAAAGe+v08=")</f>
        <v>#REF!</v>
      </c>
      <c r="CC62" s="34" t="e">
        <f>AND(#REF!,"AAAAAGe+v1A=")</f>
        <v>#REF!</v>
      </c>
      <c r="CD62" s="34" t="e">
        <f>AND(#REF!,"AAAAAGe+v1E=")</f>
        <v>#REF!</v>
      </c>
      <c r="CE62" s="34" t="e">
        <f>AND(#REF!,"AAAAAGe+v1I=")</f>
        <v>#REF!</v>
      </c>
      <c r="CF62" s="34" t="e">
        <f>AND(#REF!,"AAAAAGe+v1M=")</f>
        <v>#REF!</v>
      </c>
      <c r="CG62" s="34" t="e">
        <f>AND(#REF!,"AAAAAGe+v1Q=")</f>
        <v>#REF!</v>
      </c>
      <c r="CH62" s="34" t="e">
        <f>AND(#REF!,"AAAAAGe+v1U=")</f>
        <v>#REF!</v>
      </c>
      <c r="CI62" s="34" t="e">
        <f>AND(#REF!,"AAAAAGe+v1Y=")</f>
        <v>#REF!</v>
      </c>
      <c r="CJ62" s="34" t="e">
        <f>AND(#REF!,"AAAAAGe+v1c=")</f>
        <v>#REF!</v>
      </c>
      <c r="CK62" s="34" t="e">
        <f>AND(#REF!,"AAAAAGe+v1g=")</f>
        <v>#REF!</v>
      </c>
      <c r="CL62" s="34" t="e">
        <f>AND(#REF!,"AAAAAGe+v1k=")</f>
        <v>#REF!</v>
      </c>
      <c r="CM62" s="34" t="e">
        <f>AND(#REF!,"AAAAAGe+v1o=")</f>
        <v>#REF!</v>
      </c>
      <c r="CN62" s="34" t="e">
        <f>AND(#REF!,"AAAAAGe+v1s=")</f>
        <v>#REF!</v>
      </c>
      <c r="CO62" s="34" t="e">
        <f>AND(#REF!,"AAAAAGe+v1w=")</f>
        <v>#REF!</v>
      </c>
      <c r="CP62" s="34" t="e">
        <f>AND(#REF!,"AAAAAGe+v10=")</f>
        <v>#REF!</v>
      </c>
      <c r="CQ62" s="34" t="e">
        <f>AND(#REF!,"AAAAAGe+v14=")</f>
        <v>#REF!</v>
      </c>
      <c r="CR62" s="34" t="e">
        <f>AND(#REF!,"AAAAAGe+v18=")</f>
        <v>#REF!</v>
      </c>
      <c r="CS62" s="34" t="e">
        <f>AND(#REF!,"AAAAAGe+v2A=")</f>
        <v>#REF!</v>
      </c>
      <c r="CT62" s="34" t="e">
        <f>AND(#REF!,"AAAAAGe+v2E=")</f>
        <v>#REF!</v>
      </c>
      <c r="CU62" s="34" t="e">
        <f>AND(#REF!,"AAAAAGe+v2I=")</f>
        <v>#REF!</v>
      </c>
      <c r="CV62" s="34" t="e">
        <f>AND(#REF!,"AAAAAGe+v2M=")</f>
        <v>#REF!</v>
      </c>
      <c r="CW62" s="34" t="e">
        <f>AND(#REF!,"AAAAAGe+v2Q=")</f>
        <v>#REF!</v>
      </c>
      <c r="CX62" s="34" t="e">
        <f>AND(#REF!,"AAAAAGe+v2U=")</f>
        <v>#REF!</v>
      </c>
      <c r="CY62" s="34" t="e">
        <f>AND(#REF!,"AAAAAGe+v2Y=")</f>
        <v>#REF!</v>
      </c>
      <c r="CZ62" s="34" t="e">
        <f>AND(#REF!,"AAAAAGe+v2c=")</f>
        <v>#REF!</v>
      </c>
      <c r="DA62" s="34" t="e">
        <f>IF(#REF!,"AAAAAGe+v2g=",0)</f>
        <v>#REF!</v>
      </c>
      <c r="DB62" s="34" t="e">
        <f>AND(#REF!,"AAAAAGe+v2k=")</f>
        <v>#REF!</v>
      </c>
      <c r="DC62" s="34" t="e">
        <f>AND(#REF!,"AAAAAGe+v2o=")</f>
        <v>#REF!</v>
      </c>
      <c r="DD62" s="34" t="e">
        <f>AND(#REF!,"AAAAAGe+v2s=")</f>
        <v>#REF!</v>
      </c>
      <c r="DE62" s="34" t="e">
        <f>AND(#REF!,"AAAAAGe+v2w=")</f>
        <v>#REF!</v>
      </c>
      <c r="DF62" s="34" t="e">
        <f>AND(#REF!,"AAAAAGe+v20=")</f>
        <v>#REF!</v>
      </c>
      <c r="DG62" s="34" t="e">
        <f>AND(#REF!,"AAAAAGe+v24=")</f>
        <v>#REF!</v>
      </c>
      <c r="DH62" s="34" t="e">
        <f>AND(#REF!,"AAAAAGe+v28=")</f>
        <v>#REF!</v>
      </c>
      <c r="DI62" s="34" t="e">
        <f>AND(#REF!,"AAAAAGe+v3A=")</f>
        <v>#REF!</v>
      </c>
      <c r="DJ62" s="34" t="e">
        <f>AND(#REF!,"AAAAAGe+v3E=")</f>
        <v>#REF!</v>
      </c>
      <c r="DK62" s="34" t="e">
        <f>AND(#REF!,"AAAAAGe+v3I=")</f>
        <v>#REF!</v>
      </c>
      <c r="DL62" s="34" t="e">
        <f>AND(#REF!,"AAAAAGe+v3M=")</f>
        <v>#REF!</v>
      </c>
      <c r="DM62" s="34" t="e">
        <f>AND(#REF!,"AAAAAGe+v3Q=")</f>
        <v>#REF!</v>
      </c>
      <c r="DN62" s="34" t="e">
        <f>AND(#REF!,"AAAAAGe+v3U=")</f>
        <v>#REF!</v>
      </c>
      <c r="DO62" s="34" t="e">
        <f>AND(#REF!,"AAAAAGe+v3Y=")</f>
        <v>#REF!</v>
      </c>
      <c r="DP62" s="34" t="e">
        <f>AND(#REF!,"AAAAAGe+v3c=")</f>
        <v>#REF!</v>
      </c>
      <c r="DQ62" s="34" t="e">
        <f>AND(#REF!,"AAAAAGe+v3g=")</f>
        <v>#REF!</v>
      </c>
      <c r="DR62" s="34" t="e">
        <f>AND(#REF!,"AAAAAGe+v3k=")</f>
        <v>#REF!</v>
      </c>
      <c r="DS62" s="34" t="e">
        <f>AND(#REF!,"AAAAAGe+v3o=")</f>
        <v>#REF!</v>
      </c>
      <c r="DT62" s="34" t="e">
        <f>AND(#REF!,"AAAAAGe+v3s=")</f>
        <v>#REF!</v>
      </c>
      <c r="DU62" s="34" t="e">
        <f>AND(#REF!,"AAAAAGe+v3w=")</f>
        <v>#REF!</v>
      </c>
      <c r="DV62" s="34" t="e">
        <f>AND(#REF!,"AAAAAGe+v30=")</f>
        <v>#REF!</v>
      </c>
      <c r="DW62" s="34" t="e">
        <f>AND(#REF!,"AAAAAGe+v34=")</f>
        <v>#REF!</v>
      </c>
      <c r="DX62" s="34" t="e">
        <f>AND(#REF!,"AAAAAGe+v38=")</f>
        <v>#REF!</v>
      </c>
      <c r="DY62" s="34" t="e">
        <f>AND(#REF!,"AAAAAGe+v4A=")</f>
        <v>#REF!</v>
      </c>
      <c r="DZ62" s="34" t="e">
        <f>AND(#REF!,"AAAAAGe+v4E=")</f>
        <v>#REF!</v>
      </c>
      <c r="EA62" s="34" t="e">
        <f>AND(#REF!,"AAAAAGe+v4I=")</f>
        <v>#REF!</v>
      </c>
      <c r="EB62" s="34" t="e">
        <f>AND(#REF!,"AAAAAGe+v4M=")</f>
        <v>#REF!</v>
      </c>
      <c r="EC62" s="34" t="e">
        <f>AND(#REF!,"AAAAAGe+v4Q=")</f>
        <v>#REF!</v>
      </c>
      <c r="ED62" s="34" t="e">
        <f>AND(#REF!,"AAAAAGe+v4U=")</f>
        <v>#REF!</v>
      </c>
      <c r="EE62" s="34" t="e">
        <f>AND(#REF!,"AAAAAGe+v4Y=")</f>
        <v>#REF!</v>
      </c>
      <c r="EF62" s="34" t="e">
        <f>AND(#REF!,"AAAAAGe+v4c=")</f>
        <v>#REF!</v>
      </c>
      <c r="EG62" s="34" t="e">
        <f>AND(#REF!,"AAAAAGe+v4g=")</f>
        <v>#REF!</v>
      </c>
      <c r="EH62" s="34" t="e">
        <f>AND(#REF!,"AAAAAGe+v4k=")</f>
        <v>#REF!</v>
      </c>
      <c r="EI62" s="34" t="e">
        <f>AND(#REF!,"AAAAAGe+v4o=")</f>
        <v>#REF!</v>
      </c>
      <c r="EJ62" s="34" t="e">
        <f>AND(#REF!,"AAAAAGe+v4s=")</f>
        <v>#REF!</v>
      </c>
      <c r="EK62" s="34" t="e">
        <f>AND(#REF!,"AAAAAGe+v4w=")</f>
        <v>#REF!</v>
      </c>
      <c r="EL62" s="34" t="e">
        <f>AND(#REF!,"AAAAAGe+v40=")</f>
        <v>#REF!</v>
      </c>
      <c r="EM62" s="34" t="e">
        <f>AND(#REF!,"AAAAAGe+v44=")</f>
        <v>#REF!</v>
      </c>
      <c r="EN62" s="34" t="e">
        <f>AND(#REF!,"AAAAAGe+v48=")</f>
        <v>#REF!</v>
      </c>
      <c r="EO62" s="34" t="e">
        <f>AND(#REF!,"AAAAAGe+v5A=")</f>
        <v>#REF!</v>
      </c>
      <c r="EP62" s="34" t="e">
        <f>AND(#REF!,"AAAAAGe+v5E=")</f>
        <v>#REF!</v>
      </c>
      <c r="EQ62" s="34" t="e">
        <f>AND(#REF!,"AAAAAGe+v5I=")</f>
        <v>#REF!</v>
      </c>
      <c r="ER62" s="34" t="e">
        <f>AND(#REF!,"AAAAAGe+v5M=")</f>
        <v>#REF!</v>
      </c>
      <c r="ES62" s="34" t="e">
        <f>AND(#REF!,"AAAAAGe+v5Q=")</f>
        <v>#REF!</v>
      </c>
      <c r="ET62" s="34" t="e">
        <f>AND(#REF!,"AAAAAGe+v5U=")</f>
        <v>#REF!</v>
      </c>
      <c r="EU62" s="34" t="e">
        <f>AND(#REF!,"AAAAAGe+v5Y=")</f>
        <v>#REF!</v>
      </c>
      <c r="EV62" s="34" t="e">
        <f>AND(#REF!,"AAAAAGe+v5c=")</f>
        <v>#REF!</v>
      </c>
      <c r="EW62" s="34" t="e">
        <f>AND(#REF!,"AAAAAGe+v5g=")</f>
        <v>#REF!</v>
      </c>
      <c r="EX62" s="34" t="e">
        <f>AND(#REF!,"AAAAAGe+v5k=")</f>
        <v>#REF!</v>
      </c>
      <c r="EY62" s="34" t="e">
        <f>AND(#REF!,"AAAAAGe+v5o=")</f>
        <v>#REF!</v>
      </c>
      <c r="EZ62" s="34" t="e">
        <f>AND(#REF!,"AAAAAGe+v5s=")</f>
        <v>#REF!</v>
      </c>
      <c r="FA62" s="34" t="e">
        <f>AND(#REF!,"AAAAAGe+v5w=")</f>
        <v>#REF!</v>
      </c>
      <c r="FB62" s="34" t="e">
        <f>AND(#REF!,"AAAAAGe+v50=")</f>
        <v>#REF!</v>
      </c>
      <c r="FC62" s="34" t="e">
        <f>AND(#REF!,"AAAAAGe+v54=")</f>
        <v>#REF!</v>
      </c>
      <c r="FD62" s="34" t="e">
        <f>AND(#REF!,"AAAAAGe+v58=")</f>
        <v>#REF!</v>
      </c>
      <c r="FE62" s="34" t="e">
        <f>AND(#REF!,"AAAAAGe+v6A=")</f>
        <v>#REF!</v>
      </c>
      <c r="FF62" s="34" t="e">
        <f>AND(#REF!,"AAAAAGe+v6E=")</f>
        <v>#REF!</v>
      </c>
      <c r="FG62" s="34" t="e">
        <f>AND(#REF!,"AAAAAGe+v6I=")</f>
        <v>#REF!</v>
      </c>
      <c r="FH62" s="34" t="e">
        <f>AND(#REF!,"AAAAAGe+v6M=")</f>
        <v>#REF!</v>
      </c>
      <c r="FI62" s="34" t="e">
        <f>AND(#REF!,"AAAAAGe+v6Q=")</f>
        <v>#REF!</v>
      </c>
      <c r="FJ62" s="34" t="e">
        <f>AND(#REF!,"AAAAAGe+v6U=")</f>
        <v>#REF!</v>
      </c>
      <c r="FK62" s="34" t="e">
        <f>AND(#REF!,"AAAAAGe+v6Y=")</f>
        <v>#REF!</v>
      </c>
      <c r="FL62" s="34" t="e">
        <f>AND(#REF!,"AAAAAGe+v6c=")</f>
        <v>#REF!</v>
      </c>
      <c r="FM62" s="34" t="e">
        <f>AND(#REF!,"AAAAAGe+v6g=")</f>
        <v>#REF!</v>
      </c>
      <c r="FN62" s="34" t="e">
        <f>AND(#REF!,"AAAAAGe+v6k=")</f>
        <v>#REF!</v>
      </c>
      <c r="FO62" s="34" t="e">
        <f>AND(#REF!,"AAAAAGe+v6o=")</f>
        <v>#REF!</v>
      </c>
      <c r="FP62" s="34" t="e">
        <f>AND(#REF!,"AAAAAGe+v6s=")</f>
        <v>#REF!</v>
      </c>
      <c r="FQ62" s="34" t="e">
        <f>AND(#REF!,"AAAAAGe+v6w=")</f>
        <v>#REF!</v>
      </c>
      <c r="FR62" s="34" t="e">
        <f>AND(#REF!,"AAAAAGe+v60=")</f>
        <v>#REF!</v>
      </c>
      <c r="FS62" s="34" t="e">
        <f>AND(#REF!,"AAAAAGe+v64=")</f>
        <v>#REF!</v>
      </c>
      <c r="FT62" s="34" t="e">
        <f>AND(#REF!,"AAAAAGe+v68=")</f>
        <v>#REF!</v>
      </c>
      <c r="FU62" s="34" t="e">
        <f>AND(#REF!,"AAAAAGe+v7A=")</f>
        <v>#REF!</v>
      </c>
      <c r="FV62" s="34" t="e">
        <f>IF(#REF!,"AAAAAGe+v7E=",0)</f>
        <v>#REF!</v>
      </c>
      <c r="FW62" s="34" t="e">
        <f>AND(#REF!,"AAAAAGe+v7I=")</f>
        <v>#REF!</v>
      </c>
      <c r="FX62" s="34" t="e">
        <f>AND(#REF!,"AAAAAGe+v7M=")</f>
        <v>#REF!</v>
      </c>
      <c r="FY62" s="34" t="e">
        <f>AND(#REF!,"AAAAAGe+v7Q=")</f>
        <v>#REF!</v>
      </c>
      <c r="FZ62" s="34" t="e">
        <f>AND(#REF!,"AAAAAGe+v7U=")</f>
        <v>#REF!</v>
      </c>
      <c r="GA62" s="34" t="e">
        <f>AND(#REF!,"AAAAAGe+v7Y=")</f>
        <v>#REF!</v>
      </c>
      <c r="GB62" s="34" t="e">
        <f>AND(#REF!,"AAAAAGe+v7c=")</f>
        <v>#REF!</v>
      </c>
      <c r="GC62" s="34" t="e">
        <f>AND(#REF!,"AAAAAGe+v7g=")</f>
        <v>#REF!</v>
      </c>
      <c r="GD62" s="34" t="e">
        <f>AND(#REF!,"AAAAAGe+v7k=")</f>
        <v>#REF!</v>
      </c>
      <c r="GE62" s="34" t="e">
        <f>AND(#REF!,"AAAAAGe+v7o=")</f>
        <v>#REF!</v>
      </c>
      <c r="GF62" s="34" t="e">
        <f>AND(#REF!,"AAAAAGe+v7s=")</f>
        <v>#REF!</v>
      </c>
      <c r="GG62" s="34" t="e">
        <f>AND(#REF!,"AAAAAGe+v7w=")</f>
        <v>#REF!</v>
      </c>
      <c r="GH62" s="34" t="e">
        <f>AND(#REF!,"AAAAAGe+v70=")</f>
        <v>#REF!</v>
      </c>
      <c r="GI62" s="34" t="e">
        <f>AND(#REF!,"AAAAAGe+v74=")</f>
        <v>#REF!</v>
      </c>
      <c r="GJ62" s="34" t="e">
        <f>AND(#REF!,"AAAAAGe+v78=")</f>
        <v>#REF!</v>
      </c>
      <c r="GK62" s="34" t="e">
        <f>AND(#REF!,"AAAAAGe+v8A=")</f>
        <v>#REF!</v>
      </c>
      <c r="GL62" s="34" t="e">
        <f>AND(#REF!,"AAAAAGe+v8E=")</f>
        <v>#REF!</v>
      </c>
      <c r="GM62" s="34" t="e">
        <f>AND(#REF!,"AAAAAGe+v8I=")</f>
        <v>#REF!</v>
      </c>
      <c r="GN62" s="34" t="e">
        <f>AND(#REF!,"AAAAAGe+v8M=")</f>
        <v>#REF!</v>
      </c>
      <c r="GO62" s="34" t="e">
        <f>AND(#REF!,"AAAAAGe+v8Q=")</f>
        <v>#REF!</v>
      </c>
      <c r="GP62" s="34" t="e">
        <f>AND(#REF!,"AAAAAGe+v8U=")</f>
        <v>#REF!</v>
      </c>
      <c r="GQ62" s="34" t="e">
        <f>AND(#REF!,"AAAAAGe+v8Y=")</f>
        <v>#REF!</v>
      </c>
      <c r="GR62" s="34" t="e">
        <f>AND(#REF!,"AAAAAGe+v8c=")</f>
        <v>#REF!</v>
      </c>
      <c r="GS62" s="34" t="e">
        <f>AND(#REF!,"AAAAAGe+v8g=")</f>
        <v>#REF!</v>
      </c>
      <c r="GT62" s="34" t="e">
        <f>AND(#REF!,"AAAAAGe+v8k=")</f>
        <v>#REF!</v>
      </c>
      <c r="GU62" s="34" t="e">
        <f>AND(#REF!,"AAAAAGe+v8o=")</f>
        <v>#REF!</v>
      </c>
      <c r="GV62" s="34" t="e">
        <f>AND(#REF!,"AAAAAGe+v8s=")</f>
        <v>#REF!</v>
      </c>
      <c r="GW62" s="34" t="e">
        <f>AND(#REF!,"AAAAAGe+v8w=")</f>
        <v>#REF!</v>
      </c>
      <c r="GX62" s="34" t="e">
        <f>AND(#REF!,"AAAAAGe+v80=")</f>
        <v>#REF!</v>
      </c>
      <c r="GY62" s="34" t="e">
        <f>AND(#REF!,"AAAAAGe+v84=")</f>
        <v>#REF!</v>
      </c>
      <c r="GZ62" s="34" t="e">
        <f>AND(#REF!,"AAAAAGe+v88=")</f>
        <v>#REF!</v>
      </c>
      <c r="HA62" s="34" t="e">
        <f>AND(#REF!,"AAAAAGe+v9A=")</f>
        <v>#REF!</v>
      </c>
      <c r="HB62" s="34" t="e">
        <f>AND(#REF!,"AAAAAGe+v9E=")</f>
        <v>#REF!</v>
      </c>
      <c r="HC62" s="34" t="e">
        <f>AND(#REF!,"AAAAAGe+v9I=")</f>
        <v>#REF!</v>
      </c>
      <c r="HD62" s="34" t="e">
        <f>AND(#REF!,"AAAAAGe+v9M=")</f>
        <v>#REF!</v>
      </c>
      <c r="HE62" s="34" t="e">
        <f>AND(#REF!,"AAAAAGe+v9Q=")</f>
        <v>#REF!</v>
      </c>
      <c r="HF62" s="34" t="e">
        <f>AND(#REF!,"AAAAAGe+v9U=")</f>
        <v>#REF!</v>
      </c>
      <c r="HG62" s="34" t="e">
        <f>AND(#REF!,"AAAAAGe+v9Y=")</f>
        <v>#REF!</v>
      </c>
      <c r="HH62" s="34" t="e">
        <f>AND(#REF!,"AAAAAGe+v9c=")</f>
        <v>#REF!</v>
      </c>
      <c r="HI62" s="34" t="e">
        <f>AND(#REF!,"AAAAAGe+v9g=")</f>
        <v>#REF!</v>
      </c>
      <c r="HJ62" s="34" t="e">
        <f>AND(#REF!,"AAAAAGe+v9k=")</f>
        <v>#REF!</v>
      </c>
      <c r="HK62" s="34" t="e">
        <f>AND(#REF!,"AAAAAGe+v9o=")</f>
        <v>#REF!</v>
      </c>
      <c r="HL62" s="34" t="e">
        <f>AND(#REF!,"AAAAAGe+v9s=")</f>
        <v>#REF!</v>
      </c>
      <c r="HM62" s="34" t="e">
        <f>AND(#REF!,"AAAAAGe+v9w=")</f>
        <v>#REF!</v>
      </c>
      <c r="HN62" s="34" t="e">
        <f>AND(#REF!,"AAAAAGe+v90=")</f>
        <v>#REF!</v>
      </c>
      <c r="HO62" s="34" t="e">
        <f>AND(#REF!,"AAAAAGe+v94=")</f>
        <v>#REF!</v>
      </c>
      <c r="HP62" s="34" t="e">
        <f>AND(#REF!,"AAAAAGe+v98=")</f>
        <v>#REF!</v>
      </c>
      <c r="HQ62" s="34" t="e">
        <f>AND(#REF!,"AAAAAGe+v+A=")</f>
        <v>#REF!</v>
      </c>
      <c r="HR62" s="34" t="e">
        <f>AND(#REF!,"AAAAAGe+v+E=")</f>
        <v>#REF!</v>
      </c>
      <c r="HS62" s="34" t="e">
        <f>AND(#REF!,"AAAAAGe+v+I=")</f>
        <v>#REF!</v>
      </c>
      <c r="HT62" s="34" t="e">
        <f>AND(#REF!,"AAAAAGe+v+M=")</f>
        <v>#REF!</v>
      </c>
      <c r="HU62" s="34" t="e">
        <f>AND(#REF!,"AAAAAGe+v+Q=")</f>
        <v>#REF!</v>
      </c>
      <c r="HV62" s="34" t="e">
        <f>AND(#REF!,"AAAAAGe+v+U=")</f>
        <v>#REF!</v>
      </c>
      <c r="HW62" s="34" t="e">
        <f>AND(#REF!,"AAAAAGe+v+Y=")</f>
        <v>#REF!</v>
      </c>
      <c r="HX62" s="34" t="e">
        <f>AND(#REF!,"AAAAAGe+v+c=")</f>
        <v>#REF!</v>
      </c>
      <c r="HY62" s="34" t="e">
        <f>AND(#REF!,"AAAAAGe+v+g=")</f>
        <v>#REF!</v>
      </c>
      <c r="HZ62" s="34" t="e">
        <f>AND(#REF!,"AAAAAGe+v+k=")</f>
        <v>#REF!</v>
      </c>
      <c r="IA62" s="34" t="e">
        <f>AND(#REF!,"AAAAAGe+v+o=")</f>
        <v>#REF!</v>
      </c>
      <c r="IB62" s="34" t="e">
        <f>AND(#REF!,"AAAAAGe+v+s=")</f>
        <v>#REF!</v>
      </c>
      <c r="IC62" s="34" t="e">
        <f>AND(#REF!,"AAAAAGe+v+w=")</f>
        <v>#REF!</v>
      </c>
      <c r="ID62" s="34" t="e">
        <f>AND(#REF!,"AAAAAGe+v+0=")</f>
        <v>#REF!</v>
      </c>
      <c r="IE62" s="34" t="e">
        <f>AND(#REF!,"AAAAAGe+v+4=")</f>
        <v>#REF!</v>
      </c>
      <c r="IF62" s="34" t="e">
        <f>AND(#REF!,"AAAAAGe+v+8=")</f>
        <v>#REF!</v>
      </c>
      <c r="IG62" s="34" t="e">
        <f>AND(#REF!,"AAAAAGe+v/A=")</f>
        <v>#REF!</v>
      </c>
      <c r="IH62" s="34" t="e">
        <f>AND(#REF!,"AAAAAGe+v/E=")</f>
        <v>#REF!</v>
      </c>
      <c r="II62" s="34" t="e">
        <f>AND(#REF!,"AAAAAGe+v/I=")</f>
        <v>#REF!</v>
      </c>
      <c r="IJ62" s="34" t="e">
        <f>AND(#REF!,"AAAAAGe+v/M=")</f>
        <v>#REF!</v>
      </c>
      <c r="IK62" s="34" t="e">
        <f>AND(#REF!,"AAAAAGe+v/Q=")</f>
        <v>#REF!</v>
      </c>
      <c r="IL62" s="34" t="e">
        <f>AND(#REF!,"AAAAAGe+v/U=")</f>
        <v>#REF!</v>
      </c>
      <c r="IM62" s="34" t="e">
        <f>AND(#REF!,"AAAAAGe+v/Y=")</f>
        <v>#REF!</v>
      </c>
      <c r="IN62" s="34" t="e">
        <f>AND(#REF!,"AAAAAGe+v/c=")</f>
        <v>#REF!</v>
      </c>
      <c r="IO62" s="34" t="e">
        <f>AND(#REF!,"AAAAAGe+v/g=")</f>
        <v>#REF!</v>
      </c>
      <c r="IP62" s="34" t="e">
        <f>AND(#REF!,"AAAAAGe+v/k=")</f>
        <v>#REF!</v>
      </c>
      <c r="IQ62" s="34" t="e">
        <f>IF(#REF!,"AAAAAGe+v/o=",0)</f>
        <v>#REF!</v>
      </c>
      <c r="IR62" s="34" t="e">
        <f>AND(#REF!,"AAAAAGe+v/s=")</f>
        <v>#REF!</v>
      </c>
      <c r="IS62" s="34" t="e">
        <f>AND(#REF!,"AAAAAGe+v/w=")</f>
        <v>#REF!</v>
      </c>
      <c r="IT62" s="34" t="e">
        <f>AND(#REF!,"AAAAAGe+v/0=")</f>
        <v>#REF!</v>
      </c>
      <c r="IU62" s="34" t="e">
        <f>AND(#REF!,"AAAAAGe+v/4=")</f>
        <v>#REF!</v>
      </c>
      <c r="IV62" s="34" t="e">
        <f>AND(#REF!,"AAAAAGe+v/8=")</f>
        <v>#REF!</v>
      </c>
    </row>
    <row r="63" spans="1:256" ht="12.75" customHeight="1" x14ac:dyDescent="0.2">
      <c r="A63" s="34" t="e">
        <f>AND(#REF!,"AAAAAF/5+wA=")</f>
        <v>#REF!</v>
      </c>
      <c r="B63" s="34" t="e">
        <f>AND(#REF!,"AAAAAF/5+wE=")</f>
        <v>#REF!</v>
      </c>
      <c r="C63" s="34" t="e">
        <f>AND(#REF!,"AAAAAF/5+wI=")</f>
        <v>#REF!</v>
      </c>
      <c r="D63" s="34" t="e">
        <f>AND(#REF!,"AAAAAF/5+wM=")</f>
        <v>#REF!</v>
      </c>
      <c r="E63" s="34" t="e">
        <f>AND(#REF!,"AAAAAF/5+wQ=")</f>
        <v>#REF!</v>
      </c>
      <c r="F63" s="34" t="e">
        <f>AND(#REF!,"AAAAAF/5+wU=")</f>
        <v>#REF!</v>
      </c>
      <c r="G63" s="34" t="e">
        <f>AND(#REF!,"AAAAAF/5+wY=")</f>
        <v>#REF!</v>
      </c>
      <c r="H63" s="34" t="e">
        <f>AND(#REF!,"AAAAAF/5+wc=")</f>
        <v>#REF!</v>
      </c>
      <c r="I63" s="34" t="e">
        <f>AND(#REF!,"AAAAAF/5+wg=")</f>
        <v>#REF!</v>
      </c>
      <c r="J63" s="34" t="e">
        <f>AND(#REF!,"AAAAAF/5+wk=")</f>
        <v>#REF!</v>
      </c>
      <c r="K63" s="34" t="e">
        <f>AND(#REF!,"AAAAAF/5+wo=")</f>
        <v>#REF!</v>
      </c>
      <c r="L63" s="34" t="e">
        <f>AND(#REF!,"AAAAAF/5+ws=")</f>
        <v>#REF!</v>
      </c>
      <c r="M63" s="34" t="e">
        <f>AND(#REF!,"AAAAAF/5+ww=")</f>
        <v>#REF!</v>
      </c>
      <c r="N63" s="34" t="e">
        <f>AND(#REF!,"AAAAAF/5+w0=")</f>
        <v>#REF!</v>
      </c>
      <c r="O63" s="34" t="e">
        <f>AND(#REF!,"AAAAAF/5+w4=")</f>
        <v>#REF!</v>
      </c>
      <c r="P63" s="34" t="e">
        <f>AND(#REF!,"AAAAAF/5+w8=")</f>
        <v>#REF!</v>
      </c>
      <c r="Q63" s="34" t="e">
        <f>AND(#REF!,"AAAAAF/5+xA=")</f>
        <v>#REF!</v>
      </c>
      <c r="R63" s="34" t="e">
        <f>AND(#REF!,"AAAAAF/5+xE=")</f>
        <v>#REF!</v>
      </c>
      <c r="S63" s="34" t="e">
        <f>AND(#REF!,"AAAAAF/5+xI=")</f>
        <v>#REF!</v>
      </c>
      <c r="T63" s="34" t="e">
        <f>AND(#REF!,"AAAAAF/5+xM=")</f>
        <v>#REF!</v>
      </c>
      <c r="U63" s="34" t="e">
        <f>AND(#REF!,"AAAAAF/5+xQ=")</f>
        <v>#REF!</v>
      </c>
      <c r="V63" s="34" t="e">
        <f>AND(#REF!,"AAAAAF/5+xU=")</f>
        <v>#REF!</v>
      </c>
      <c r="W63" s="34" t="e">
        <f>AND(#REF!,"AAAAAF/5+xY=")</f>
        <v>#REF!</v>
      </c>
      <c r="X63" s="34" t="e">
        <f>AND(#REF!,"AAAAAF/5+xc=")</f>
        <v>#REF!</v>
      </c>
      <c r="Y63" s="34" t="e">
        <f>AND(#REF!,"AAAAAF/5+xg=")</f>
        <v>#REF!</v>
      </c>
      <c r="Z63" s="34" t="e">
        <f>AND(#REF!,"AAAAAF/5+xk=")</f>
        <v>#REF!</v>
      </c>
      <c r="AA63" s="34" t="e">
        <f>AND(#REF!,"AAAAAF/5+xo=")</f>
        <v>#REF!</v>
      </c>
      <c r="AB63" s="34" t="e">
        <f>AND(#REF!,"AAAAAF/5+xs=")</f>
        <v>#REF!</v>
      </c>
      <c r="AC63" s="34" t="e">
        <f>AND(#REF!,"AAAAAF/5+xw=")</f>
        <v>#REF!</v>
      </c>
      <c r="AD63" s="34" t="e">
        <f>AND(#REF!,"AAAAAF/5+x0=")</f>
        <v>#REF!</v>
      </c>
      <c r="AE63" s="34" t="e">
        <f>AND(#REF!,"AAAAAF/5+x4=")</f>
        <v>#REF!</v>
      </c>
      <c r="AF63" s="34" t="e">
        <f>AND(#REF!,"AAAAAF/5+x8=")</f>
        <v>#REF!</v>
      </c>
      <c r="AG63" s="34" t="e">
        <f>AND(#REF!,"AAAAAF/5+yA=")</f>
        <v>#REF!</v>
      </c>
      <c r="AH63" s="34" t="e">
        <f>AND(#REF!,"AAAAAF/5+yE=")</f>
        <v>#REF!</v>
      </c>
      <c r="AI63" s="34" t="e">
        <f>AND(#REF!,"AAAAAF/5+yI=")</f>
        <v>#REF!</v>
      </c>
      <c r="AJ63" s="34" t="e">
        <f>AND(#REF!,"AAAAAF/5+yM=")</f>
        <v>#REF!</v>
      </c>
      <c r="AK63" s="34" t="e">
        <f>AND(#REF!,"AAAAAF/5+yQ=")</f>
        <v>#REF!</v>
      </c>
      <c r="AL63" s="34" t="e">
        <f>AND(#REF!,"AAAAAF/5+yU=")</f>
        <v>#REF!</v>
      </c>
      <c r="AM63" s="34" t="e">
        <f>AND(#REF!,"AAAAAF/5+yY=")</f>
        <v>#REF!</v>
      </c>
      <c r="AN63" s="34" t="e">
        <f>AND(#REF!,"AAAAAF/5+yc=")</f>
        <v>#REF!</v>
      </c>
      <c r="AO63" s="34" t="e">
        <f>AND(#REF!,"AAAAAF/5+yg=")</f>
        <v>#REF!</v>
      </c>
      <c r="AP63" s="34" t="e">
        <f>AND(#REF!,"AAAAAF/5+yk=")</f>
        <v>#REF!</v>
      </c>
      <c r="AQ63" s="34" t="e">
        <f>AND(#REF!,"AAAAAF/5+yo=")</f>
        <v>#REF!</v>
      </c>
      <c r="AR63" s="34" t="e">
        <f>AND(#REF!,"AAAAAF/5+ys=")</f>
        <v>#REF!</v>
      </c>
      <c r="AS63" s="34" t="e">
        <f>AND(#REF!,"AAAAAF/5+yw=")</f>
        <v>#REF!</v>
      </c>
      <c r="AT63" s="34" t="e">
        <f>AND(#REF!,"AAAAAF/5+y0=")</f>
        <v>#REF!</v>
      </c>
      <c r="AU63" s="34" t="e">
        <f>AND(#REF!,"AAAAAF/5+y4=")</f>
        <v>#REF!</v>
      </c>
      <c r="AV63" s="34" t="e">
        <f>AND(#REF!,"AAAAAF/5+y8=")</f>
        <v>#REF!</v>
      </c>
      <c r="AW63" s="34" t="e">
        <f>AND(#REF!,"AAAAAF/5+zA=")</f>
        <v>#REF!</v>
      </c>
      <c r="AX63" s="34" t="e">
        <f>AND(#REF!,"AAAAAF/5+zE=")</f>
        <v>#REF!</v>
      </c>
      <c r="AY63" s="34" t="e">
        <f>AND(#REF!,"AAAAAF/5+zI=")</f>
        <v>#REF!</v>
      </c>
      <c r="AZ63" s="34" t="e">
        <f>AND(#REF!,"AAAAAF/5+zM=")</f>
        <v>#REF!</v>
      </c>
      <c r="BA63" s="34" t="e">
        <f>AND(#REF!,"AAAAAF/5+zQ=")</f>
        <v>#REF!</v>
      </c>
      <c r="BB63" s="34" t="e">
        <f>AND(#REF!,"AAAAAF/5+zU=")</f>
        <v>#REF!</v>
      </c>
      <c r="BC63" s="34" t="e">
        <f>AND(#REF!,"AAAAAF/5+zY=")</f>
        <v>#REF!</v>
      </c>
      <c r="BD63" s="34" t="e">
        <f>AND(#REF!,"AAAAAF/5+zc=")</f>
        <v>#REF!</v>
      </c>
      <c r="BE63" s="34" t="e">
        <f>AND(#REF!,"AAAAAF/5+zg=")</f>
        <v>#REF!</v>
      </c>
      <c r="BF63" s="34" t="e">
        <f>AND(#REF!,"AAAAAF/5+zk=")</f>
        <v>#REF!</v>
      </c>
      <c r="BG63" s="34" t="e">
        <f>AND(#REF!,"AAAAAF/5+zo=")</f>
        <v>#REF!</v>
      </c>
      <c r="BH63" s="34" t="e">
        <f>AND(#REF!,"AAAAAF/5+zs=")</f>
        <v>#REF!</v>
      </c>
      <c r="BI63" s="34" t="e">
        <f>AND(#REF!,"AAAAAF/5+zw=")</f>
        <v>#REF!</v>
      </c>
      <c r="BJ63" s="34" t="e">
        <f>AND(#REF!,"AAAAAF/5+z0=")</f>
        <v>#REF!</v>
      </c>
      <c r="BK63" s="34" t="e">
        <f>AND(#REF!,"AAAAAF/5+z4=")</f>
        <v>#REF!</v>
      </c>
      <c r="BL63" s="34" t="e">
        <f>AND(#REF!,"AAAAAF/5+z8=")</f>
        <v>#REF!</v>
      </c>
      <c r="BM63" s="34" t="e">
        <f>AND(#REF!,"AAAAAF/5+0A=")</f>
        <v>#REF!</v>
      </c>
      <c r="BN63" s="34" t="e">
        <f>AND(#REF!,"AAAAAF/5+0E=")</f>
        <v>#REF!</v>
      </c>
      <c r="BO63" s="34" t="e">
        <f>AND(#REF!,"AAAAAF/5+0I=")</f>
        <v>#REF!</v>
      </c>
      <c r="BP63" s="34" t="e">
        <f>IF(#REF!,"AAAAAF/5+0M=",0)</f>
        <v>#REF!</v>
      </c>
      <c r="BQ63" s="34" t="e">
        <f>AND(#REF!,"AAAAAF/5+0Q=")</f>
        <v>#REF!</v>
      </c>
      <c r="BR63" s="34" t="e">
        <f>AND(#REF!,"AAAAAF/5+0U=")</f>
        <v>#REF!</v>
      </c>
      <c r="BS63" s="34" t="e">
        <f>AND(#REF!,"AAAAAF/5+0Y=")</f>
        <v>#REF!</v>
      </c>
      <c r="BT63" s="34" t="e">
        <f>AND(#REF!,"AAAAAF/5+0c=")</f>
        <v>#REF!</v>
      </c>
      <c r="BU63" s="34" t="e">
        <f>AND(#REF!,"AAAAAF/5+0g=")</f>
        <v>#REF!</v>
      </c>
      <c r="BV63" s="34" t="e">
        <f>AND(#REF!,"AAAAAF/5+0k=")</f>
        <v>#REF!</v>
      </c>
      <c r="BW63" s="34" t="e">
        <f>AND(#REF!,"AAAAAF/5+0o=")</f>
        <v>#REF!</v>
      </c>
      <c r="BX63" s="34" t="e">
        <f>AND(#REF!,"AAAAAF/5+0s=")</f>
        <v>#REF!</v>
      </c>
      <c r="BY63" s="34" t="e">
        <f>AND(#REF!,"AAAAAF/5+0w=")</f>
        <v>#REF!</v>
      </c>
      <c r="BZ63" s="34" t="e">
        <f>AND(#REF!,"AAAAAF/5+00=")</f>
        <v>#REF!</v>
      </c>
      <c r="CA63" s="34" t="e">
        <f>AND(#REF!,"AAAAAF/5+04=")</f>
        <v>#REF!</v>
      </c>
      <c r="CB63" s="34" t="e">
        <f>AND(#REF!,"AAAAAF/5+08=")</f>
        <v>#REF!</v>
      </c>
      <c r="CC63" s="34" t="e">
        <f>AND(#REF!,"AAAAAF/5+1A=")</f>
        <v>#REF!</v>
      </c>
      <c r="CD63" s="34" t="e">
        <f>AND(#REF!,"AAAAAF/5+1E=")</f>
        <v>#REF!</v>
      </c>
      <c r="CE63" s="34" t="e">
        <f>AND(#REF!,"AAAAAF/5+1I=")</f>
        <v>#REF!</v>
      </c>
      <c r="CF63" s="34" t="e">
        <f>AND(#REF!,"AAAAAF/5+1M=")</f>
        <v>#REF!</v>
      </c>
      <c r="CG63" s="34" t="e">
        <f>AND(#REF!,"AAAAAF/5+1Q=")</f>
        <v>#REF!</v>
      </c>
      <c r="CH63" s="34" t="e">
        <f>AND(#REF!,"AAAAAF/5+1U=")</f>
        <v>#REF!</v>
      </c>
      <c r="CI63" s="34" t="e">
        <f>AND(#REF!,"AAAAAF/5+1Y=")</f>
        <v>#REF!</v>
      </c>
      <c r="CJ63" s="34" t="e">
        <f>AND(#REF!,"AAAAAF/5+1c=")</f>
        <v>#REF!</v>
      </c>
      <c r="CK63" s="34" t="e">
        <f>AND(#REF!,"AAAAAF/5+1g=")</f>
        <v>#REF!</v>
      </c>
      <c r="CL63" s="34" t="e">
        <f>AND(#REF!,"AAAAAF/5+1k=")</f>
        <v>#REF!</v>
      </c>
      <c r="CM63" s="34" t="e">
        <f>AND(#REF!,"AAAAAF/5+1o=")</f>
        <v>#REF!</v>
      </c>
      <c r="CN63" s="34" t="e">
        <f>AND(#REF!,"AAAAAF/5+1s=")</f>
        <v>#REF!</v>
      </c>
      <c r="CO63" s="34" t="e">
        <f>AND(#REF!,"AAAAAF/5+1w=")</f>
        <v>#REF!</v>
      </c>
      <c r="CP63" s="34" t="e">
        <f>AND(#REF!,"AAAAAF/5+10=")</f>
        <v>#REF!</v>
      </c>
      <c r="CQ63" s="34" t="e">
        <f>AND(#REF!,"AAAAAF/5+14=")</f>
        <v>#REF!</v>
      </c>
      <c r="CR63" s="34" t="e">
        <f>AND(#REF!,"AAAAAF/5+18=")</f>
        <v>#REF!</v>
      </c>
      <c r="CS63" s="34" t="e">
        <f>AND(#REF!,"AAAAAF/5+2A=")</f>
        <v>#REF!</v>
      </c>
      <c r="CT63" s="34" t="e">
        <f>AND(#REF!,"AAAAAF/5+2E=")</f>
        <v>#REF!</v>
      </c>
      <c r="CU63" s="34" t="e">
        <f>AND(#REF!,"AAAAAF/5+2I=")</f>
        <v>#REF!</v>
      </c>
      <c r="CV63" s="34" t="e">
        <f>AND(#REF!,"AAAAAF/5+2M=")</f>
        <v>#REF!</v>
      </c>
      <c r="CW63" s="34" t="e">
        <f>AND(#REF!,"AAAAAF/5+2Q=")</f>
        <v>#REF!</v>
      </c>
      <c r="CX63" s="34" t="e">
        <f>AND(#REF!,"AAAAAF/5+2U=")</f>
        <v>#REF!</v>
      </c>
      <c r="CY63" s="34" t="e">
        <f>AND(#REF!,"AAAAAF/5+2Y=")</f>
        <v>#REF!</v>
      </c>
      <c r="CZ63" s="34" t="e">
        <f>AND(#REF!,"AAAAAF/5+2c=")</f>
        <v>#REF!</v>
      </c>
      <c r="DA63" s="34" t="e">
        <f>AND(#REF!,"AAAAAF/5+2g=")</f>
        <v>#REF!</v>
      </c>
      <c r="DB63" s="34" t="e">
        <f>AND(#REF!,"AAAAAF/5+2k=")</f>
        <v>#REF!</v>
      </c>
      <c r="DC63" s="34" t="e">
        <f>AND(#REF!,"AAAAAF/5+2o=")</f>
        <v>#REF!</v>
      </c>
      <c r="DD63" s="34" t="e">
        <f>AND(#REF!,"AAAAAF/5+2s=")</f>
        <v>#REF!</v>
      </c>
      <c r="DE63" s="34" t="e">
        <f>AND(#REF!,"AAAAAF/5+2w=")</f>
        <v>#REF!</v>
      </c>
      <c r="DF63" s="34" t="e">
        <f>AND(#REF!,"AAAAAF/5+20=")</f>
        <v>#REF!</v>
      </c>
      <c r="DG63" s="34" t="e">
        <f>AND(#REF!,"AAAAAF/5+24=")</f>
        <v>#REF!</v>
      </c>
      <c r="DH63" s="34" t="e">
        <f>AND(#REF!,"AAAAAF/5+28=")</f>
        <v>#REF!</v>
      </c>
      <c r="DI63" s="34" t="e">
        <f>AND(#REF!,"AAAAAF/5+3A=")</f>
        <v>#REF!</v>
      </c>
      <c r="DJ63" s="34" t="e">
        <f>AND(#REF!,"AAAAAF/5+3E=")</f>
        <v>#REF!</v>
      </c>
      <c r="DK63" s="34" t="e">
        <f>AND(#REF!,"AAAAAF/5+3I=")</f>
        <v>#REF!</v>
      </c>
      <c r="DL63" s="34" t="e">
        <f>AND(#REF!,"AAAAAF/5+3M=")</f>
        <v>#REF!</v>
      </c>
      <c r="DM63" s="34" t="e">
        <f>AND(#REF!,"AAAAAF/5+3Q=")</f>
        <v>#REF!</v>
      </c>
      <c r="DN63" s="34" t="e">
        <f>AND(#REF!,"AAAAAF/5+3U=")</f>
        <v>#REF!</v>
      </c>
      <c r="DO63" s="34" t="e">
        <f>AND(#REF!,"AAAAAF/5+3Y=")</f>
        <v>#REF!</v>
      </c>
      <c r="DP63" s="34" t="e">
        <f>AND(#REF!,"AAAAAF/5+3c=")</f>
        <v>#REF!</v>
      </c>
      <c r="DQ63" s="34" t="e">
        <f>AND(#REF!,"AAAAAF/5+3g=")</f>
        <v>#REF!</v>
      </c>
      <c r="DR63" s="34" t="e">
        <f>AND(#REF!,"AAAAAF/5+3k=")</f>
        <v>#REF!</v>
      </c>
      <c r="DS63" s="34" t="e">
        <f>AND(#REF!,"AAAAAF/5+3o=")</f>
        <v>#REF!</v>
      </c>
      <c r="DT63" s="34" t="e">
        <f>AND(#REF!,"AAAAAF/5+3s=")</f>
        <v>#REF!</v>
      </c>
      <c r="DU63" s="34" t="e">
        <f>AND(#REF!,"AAAAAF/5+3w=")</f>
        <v>#REF!</v>
      </c>
      <c r="DV63" s="34" t="e">
        <f>AND(#REF!,"AAAAAF/5+30=")</f>
        <v>#REF!</v>
      </c>
      <c r="DW63" s="34" t="e">
        <f>AND(#REF!,"AAAAAF/5+34=")</f>
        <v>#REF!</v>
      </c>
      <c r="DX63" s="34" t="e">
        <f>AND(#REF!,"AAAAAF/5+38=")</f>
        <v>#REF!</v>
      </c>
      <c r="DY63" s="34" t="e">
        <f>AND(#REF!,"AAAAAF/5+4A=")</f>
        <v>#REF!</v>
      </c>
      <c r="DZ63" s="34" t="e">
        <f>AND(#REF!,"AAAAAF/5+4E=")</f>
        <v>#REF!</v>
      </c>
      <c r="EA63" s="34" t="e">
        <f>AND(#REF!,"AAAAAF/5+4I=")</f>
        <v>#REF!</v>
      </c>
      <c r="EB63" s="34" t="e">
        <f>AND(#REF!,"AAAAAF/5+4M=")</f>
        <v>#REF!</v>
      </c>
      <c r="EC63" s="34" t="e">
        <f>AND(#REF!,"AAAAAF/5+4Q=")</f>
        <v>#REF!</v>
      </c>
      <c r="ED63" s="34" t="e">
        <f>AND(#REF!,"AAAAAF/5+4U=")</f>
        <v>#REF!</v>
      </c>
      <c r="EE63" s="34" t="e">
        <f>AND(#REF!,"AAAAAF/5+4Y=")</f>
        <v>#REF!</v>
      </c>
      <c r="EF63" s="34" t="e">
        <f>AND(#REF!,"AAAAAF/5+4c=")</f>
        <v>#REF!</v>
      </c>
      <c r="EG63" s="34" t="e">
        <f>AND(#REF!,"AAAAAF/5+4g=")</f>
        <v>#REF!</v>
      </c>
      <c r="EH63" s="34" t="e">
        <f>AND(#REF!,"AAAAAF/5+4k=")</f>
        <v>#REF!</v>
      </c>
      <c r="EI63" s="34" t="e">
        <f>AND(#REF!,"AAAAAF/5+4o=")</f>
        <v>#REF!</v>
      </c>
      <c r="EJ63" s="34" t="e">
        <f>AND(#REF!,"AAAAAF/5+4s=")</f>
        <v>#REF!</v>
      </c>
      <c r="EK63" s="34" t="e">
        <f>IF(#REF!,"AAAAAF/5+4w=",0)</f>
        <v>#REF!</v>
      </c>
      <c r="EL63" s="34" t="e">
        <f>AND(#REF!,"AAAAAF/5+40=")</f>
        <v>#REF!</v>
      </c>
      <c r="EM63" s="34" t="e">
        <f>AND(#REF!,"AAAAAF/5+44=")</f>
        <v>#REF!</v>
      </c>
      <c r="EN63" s="34" t="e">
        <f>AND(#REF!,"AAAAAF/5+48=")</f>
        <v>#REF!</v>
      </c>
      <c r="EO63" s="34" t="e">
        <f>AND(#REF!,"AAAAAF/5+5A=")</f>
        <v>#REF!</v>
      </c>
      <c r="EP63" s="34" t="e">
        <f>AND(#REF!,"AAAAAF/5+5E=")</f>
        <v>#REF!</v>
      </c>
      <c r="EQ63" s="34" t="e">
        <f>AND(#REF!,"AAAAAF/5+5I=")</f>
        <v>#REF!</v>
      </c>
      <c r="ER63" s="34" t="e">
        <f>AND(#REF!,"AAAAAF/5+5M=")</f>
        <v>#REF!</v>
      </c>
      <c r="ES63" s="34" t="e">
        <f>AND(#REF!,"AAAAAF/5+5Q=")</f>
        <v>#REF!</v>
      </c>
      <c r="ET63" s="34" t="e">
        <f>AND(#REF!,"AAAAAF/5+5U=")</f>
        <v>#REF!</v>
      </c>
      <c r="EU63" s="34" t="e">
        <f>AND(#REF!,"AAAAAF/5+5Y=")</f>
        <v>#REF!</v>
      </c>
      <c r="EV63" s="34" t="e">
        <f>AND(#REF!,"AAAAAF/5+5c=")</f>
        <v>#REF!</v>
      </c>
      <c r="EW63" s="34" t="e">
        <f>AND(#REF!,"AAAAAF/5+5g=")</f>
        <v>#REF!</v>
      </c>
      <c r="EX63" s="34" t="e">
        <f>AND(#REF!,"AAAAAF/5+5k=")</f>
        <v>#REF!</v>
      </c>
      <c r="EY63" s="34" t="e">
        <f>AND(#REF!,"AAAAAF/5+5o=")</f>
        <v>#REF!</v>
      </c>
      <c r="EZ63" s="34" t="e">
        <f>AND(#REF!,"AAAAAF/5+5s=")</f>
        <v>#REF!</v>
      </c>
      <c r="FA63" s="34" t="e">
        <f>AND(#REF!,"AAAAAF/5+5w=")</f>
        <v>#REF!</v>
      </c>
      <c r="FB63" s="34" t="e">
        <f>AND(#REF!,"AAAAAF/5+50=")</f>
        <v>#REF!</v>
      </c>
      <c r="FC63" s="34" t="e">
        <f>AND(#REF!,"AAAAAF/5+54=")</f>
        <v>#REF!</v>
      </c>
      <c r="FD63" s="34" t="e">
        <f>AND(#REF!,"AAAAAF/5+58=")</f>
        <v>#REF!</v>
      </c>
      <c r="FE63" s="34" t="e">
        <f>AND(#REF!,"AAAAAF/5+6A=")</f>
        <v>#REF!</v>
      </c>
      <c r="FF63" s="34" t="e">
        <f>AND(#REF!,"AAAAAF/5+6E=")</f>
        <v>#REF!</v>
      </c>
      <c r="FG63" s="34" t="e">
        <f>AND(#REF!,"AAAAAF/5+6I=")</f>
        <v>#REF!</v>
      </c>
      <c r="FH63" s="34" t="e">
        <f>AND(#REF!,"AAAAAF/5+6M=")</f>
        <v>#REF!</v>
      </c>
      <c r="FI63" s="34" t="e">
        <f>AND(#REF!,"AAAAAF/5+6Q=")</f>
        <v>#REF!</v>
      </c>
      <c r="FJ63" s="34" t="e">
        <f>AND(#REF!,"AAAAAF/5+6U=")</f>
        <v>#REF!</v>
      </c>
      <c r="FK63" s="34" t="e">
        <f>AND(#REF!,"AAAAAF/5+6Y=")</f>
        <v>#REF!</v>
      </c>
      <c r="FL63" s="34" t="e">
        <f>AND(#REF!,"AAAAAF/5+6c=")</f>
        <v>#REF!</v>
      </c>
      <c r="FM63" s="34" t="e">
        <f>AND(#REF!,"AAAAAF/5+6g=")</f>
        <v>#REF!</v>
      </c>
      <c r="FN63" s="34" t="e">
        <f>AND(#REF!,"AAAAAF/5+6k=")</f>
        <v>#REF!</v>
      </c>
      <c r="FO63" s="34" t="e">
        <f>AND(#REF!,"AAAAAF/5+6o=")</f>
        <v>#REF!</v>
      </c>
      <c r="FP63" s="34" t="e">
        <f>AND(#REF!,"AAAAAF/5+6s=")</f>
        <v>#REF!</v>
      </c>
      <c r="FQ63" s="34" t="e">
        <f>AND(#REF!,"AAAAAF/5+6w=")</f>
        <v>#REF!</v>
      </c>
      <c r="FR63" s="34" t="e">
        <f>AND(#REF!,"AAAAAF/5+60=")</f>
        <v>#REF!</v>
      </c>
      <c r="FS63" s="34" t="e">
        <f>AND(#REF!,"AAAAAF/5+64=")</f>
        <v>#REF!</v>
      </c>
      <c r="FT63" s="34" t="e">
        <f>AND(#REF!,"AAAAAF/5+68=")</f>
        <v>#REF!</v>
      </c>
      <c r="FU63" s="34" t="e">
        <f>AND(#REF!,"AAAAAF/5+7A=")</f>
        <v>#REF!</v>
      </c>
      <c r="FV63" s="34" t="e">
        <f>AND(#REF!,"AAAAAF/5+7E=")</f>
        <v>#REF!</v>
      </c>
      <c r="FW63" s="34" t="e">
        <f>AND(#REF!,"AAAAAF/5+7I=")</f>
        <v>#REF!</v>
      </c>
      <c r="FX63" s="34" t="e">
        <f>AND(#REF!,"AAAAAF/5+7M=")</f>
        <v>#REF!</v>
      </c>
      <c r="FY63" s="34" t="e">
        <f>AND(#REF!,"AAAAAF/5+7Q=")</f>
        <v>#REF!</v>
      </c>
      <c r="FZ63" s="34" t="e">
        <f>AND(#REF!,"AAAAAF/5+7U=")</f>
        <v>#REF!</v>
      </c>
      <c r="GA63" s="34" t="e">
        <f>AND(#REF!,"AAAAAF/5+7Y=")</f>
        <v>#REF!</v>
      </c>
      <c r="GB63" s="34" t="e">
        <f>AND(#REF!,"AAAAAF/5+7c=")</f>
        <v>#REF!</v>
      </c>
      <c r="GC63" s="34" t="e">
        <f>AND(#REF!,"AAAAAF/5+7g=")</f>
        <v>#REF!</v>
      </c>
      <c r="GD63" s="34" t="e">
        <f>AND(#REF!,"AAAAAF/5+7k=")</f>
        <v>#REF!</v>
      </c>
      <c r="GE63" s="34" t="e">
        <f>AND(#REF!,"AAAAAF/5+7o=")</f>
        <v>#REF!</v>
      </c>
      <c r="GF63" s="34" t="e">
        <f>AND(#REF!,"AAAAAF/5+7s=")</f>
        <v>#REF!</v>
      </c>
      <c r="GG63" s="34" t="e">
        <f>AND(#REF!,"AAAAAF/5+7w=")</f>
        <v>#REF!</v>
      </c>
      <c r="GH63" s="34" t="e">
        <f>AND(#REF!,"AAAAAF/5+70=")</f>
        <v>#REF!</v>
      </c>
      <c r="GI63" s="34" t="e">
        <f>AND(#REF!,"AAAAAF/5+74=")</f>
        <v>#REF!</v>
      </c>
      <c r="GJ63" s="34" t="e">
        <f>AND(#REF!,"AAAAAF/5+78=")</f>
        <v>#REF!</v>
      </c>
      <c r="GK63" s="34" t="e">
        <f>AND(#REF!,"AAAAAF/5+8A=")</f>
        <v>#REF!</v>
      </c>
      <c r="GL63" s="34" t="e">
        <f>AND(#REF!,"AAAAAF/5+8E=")</f>
        <v>#REF!</v>
      </c>
      <c r="GM63" s="34" t="e">
        <f>AND(#REF!,"AAAAAF/5+8I=")</f>
        <v>#REF!</v>
      </c>
      <c r="GN63" s="34" t="e">
        <f>AND(#REF!,"AAAAAF/5+8M=")</f>
        <v>#REF!</v>
      </c>
      <c r="GO63" s="34" t="e">
        <f>AND(#REF!,"AAAAAF/5+8Q=")</f>
        <v>#REF!</v>
      </c>
      <c r="GP63" s="34" t="e">
        <f>AND(#REF!,"AAAAAF/5+8U=")</f>
        <v>#REF!</v>
      </c>
      <c r="GQ63" s="34" t="e">
        <f>AND(#REF!,"AAAAAF/5+8Y=")</f>
        <v>#REF!</v>
      </c>
      <c r="GR63" s="34" t="e">
        <f>AND(#REF!,"AAAAAF/5+8c=")</f>
        <v>#REF!</v>
      </c>
      <c r="GS63" s="34" t="e">
        <f>AND(#REF!,"AAAAAF/5+8g=")</f>
        <v>#REF!</v>
      </c>
      <c r="GT63" s="34" t="e">
        <f>AND(#REF!,"AAAAAF/5+8k=")</f>
        <v>#REF!</v>
      </c>
      <c r="GU63" s="34" t="e">
        <f>AND(#REF!,"AAAAAF/5+8o=")</f>
        <v>#REF!</v>
      </c>
      <c r="GV63" s="34" t="e">
        <f>AND(#REF!,"AAAAAF/5+8s=")</f>
        <v>#REF!</v>
      </c>
      <c r="GW63" s="34" t="e">
        <f>AND(#REF!,"AAAAAF/5+8w=")</f>
        <v>#REF!</v>
      </c>
      <c r="GX63" s="34" t="e">
        <f>AND(#REF!,"AAAAAF/5+80=")</f>
        <v>#REF!</v>
      </c>
      <c r="GY63" s="34" t="e">
        <f>AND(#REF!,"AAAAAF/5+84=")</f>
        <v>#REF!</v>
      </c>
      <c r="GZ63" s="34" t="e">
        <f>AND(#REF!,"AAAAAF/5+88=")</f>
        <v>#REF!</v>
      </c>
      <c r="HA63" s="34" t="e">
        <f>AND(#REF!,"AAAAAF/5+9A=")</f>
        <v>#REF!</v>
      </c>
      <c r="HB63" s="34" t="e">
        <f>AND(#REF!,"AAAAAF/5+9E=")</f>
        <v>#REF!</v>
      </c>
      <c r="HC63" s="34" t="e">
        <f>AND(#REF!,"AAAAAF/5+9I=")</f>
        <v>#REF!</v>
      </c>
      <c r="HD63" s="34" t="e">
        <f>AND(#REF!,"AAAAAF/5+9M=")</f>
        <v>#REF!</v>
      </c>
      <c r="HE63" s="34" t="e">
        <f>AND(#REF!,"AAAAAF/5+9Q=")</f>
        <v>#REF!</v>
      </c>
      <c r="HF63" s="34" t="e">
        <f>IF(#REF!,"AAAAAF/5+9U=",0)</f>
        <v>#REF!</v>
      </c>
      <c r="HG63" s="34" t="e">
        <f>AND(#REF!,"AAAAAF/5+9Y=")</f>
        <v>#REF!</v>
      </c>
      <c r="HH63" s="34" t="e">
        <f>AND(#REF!,"AAAAAF/5+9c=")</f>
        <v>#REF!</v>
      </c>
      <c r="HI63" s="34" t="e">
        <f>AND(#REF!,"AAAAAF/5+9g=")</f>
        <v>#REF!</v>
      </c>
      <c r="HJ63" s="34" t="e">
        <f>AND(#REF!,"AAAAAF/5+9k=")</f>
        <v>#REF!</v>
      </c>
      <c r="HK63" s="34" t="e">
        <f>AND(#REF!,"AAAAAF/5+9o=")</f>
        <v>#REF!</v>
      </c>
      <c r="HL63" s="34" t="e">
        <f>AND(#REF!,"AAAAAF/5+9s=")</f>
        <v>#REF!</v>
      </c>
      <c r="HM63" s="34" t="e">
        <f>AND(#REF!,"AAAAAF/5+9w=")</f>
        <v>#REF!</v>
      </c>
      <c r="HN63" s="34" t="e">
        <f>AND(#REF!,"AAAAAF/5+90=")</f>
        <v>#REF!</v>
      </c>
      <c r="HO63" s="34" t="e">
        <f>AND(#REF!,"AAAAAF/5+94=")</f>
        <v>#REF!</v>
      </c>
      <c r="HP63" s="34" t="e">
        <f>AND(#REF!,"AAAAAF/5+98=")</f>
        <v>#REF!</v>
      </c>
      <c r="HQ63" s="34" t="e">
        <f>AND(#REF!,"AAAAAF/5++A=")</f>
        <v>#REF!</v>
      </c>
      <c r="HR63" s="34" t="e">
        <f>AND(#REF!,"AAAAAF/5++E=")</f>
        <v>#REF!</v>
      </c>
      <c r="HS63" s="34" t="e">
        <f>AND(#REF!,"AAAAAF/5++I=")</f>
        <v>#REF!</v>
      </c>
      <c r="HT63" s="34" t="e">
        <f>AND(#REF!,"AAAAAF/5++M=")</f>
        <v>#REF!</v>
      </c>
      <c r="HU63" s="34" t="e">
        <f>AND(#REF!,"AAAAAF/5++Q=")</f>
        <v>#REF!</v>
      </c>
      <c r="HV63" s="34" t="e">
        <f>AND(#REF!,"AAAAAF/5++U=")</f>
        <v>#REF!</v>
      </c>
      <c r="HW63" s="34" t="e">
        <f>AND(#REF!,"AAAAAF/5++Y=")</f>
        <v>#REF!</v>
      </c>
      <c r="HX63" s="34" t="e">
        <f>AND(#REF!,"AAAAAF/5++c=")</f>
        <v>#REF!</v>
      </c>
      <c r="HY63" s="34" t="e">
        <f>AND(#REF!,"AAAAAF/5++g=")</f>
        <v>#REF!</v>
      </c>
      <c r="HZ63" s="34" t="e">
        <f>AND(#REF!,"AAAAAF/5++k=")</f>
        <v>#REF!</v>
      </c>
      <c r="IA63" s="34" t="e">
        <f>AND(#REF!,"AAAAAF/5++o=")</f>
        <v>#REF!</v>
      </c>
      <c r="IB63" s="34" t="e">
        <f>AND(#REF!,"AAAAAF/5++s=")</f>
        <v>#REF!</v>
      </c>
      <c r="IC63" s="34" t="e">
        <f>AND(#REF!,"AAAAAF/5++w=")</f>
        <v>#REF!</v>
      </c>
      <c r="ID63" s="34" t="e">
        <f>AND(#REF!,"AAAAAF/5++0=")</f>
        <v>#REF!</v>
      </c>
      <c r="IE63" s="34" t="e">
        <f>AND(#REF!,"AAAAAF/5++4=")</f>
        <v>#REF!</v>
      </c>
      <c r="IF63" s="34" t="e">
        <f>AND(#REF!,"AAAAAF/5++8=")</f>
        <v>#REF!</v>
      </c>
      <c r="IG63" s="34" t="e">
        <f>AND(#REF!,"AAAAAF/5+/A=")</f>
        <v>#REF!</v>
      </c>
      <c r="IH63" s="34" t="e">
        <f>AND(#REF!,"AAAAAF/5+/E=")</f>
        <v>#REF!</v>
      </c>
      <c r="II63" s="34" t="e">
        <f>AND(#REF!,"AAAAAF/5+/I=")</f>
        <v>#REF!</v>
      </c>
      <c r="IJ63" s="34" t="e">
        <f>AND(#REF!,"AAAAAF/5+/M=")</f>
        <v>#REF!</v>
      </c>
      <c r="IK63" s="34" t="e">
        <f>AND(#REF!,"AAAAAF/5+/Q=")</f>
        <v>#REF!</v>
      </c>
      <c r="IL63" s="34" t="e">
        <f>AND(#REF!,"AAAAAF/5+/U=")</f>
        <v>#REF!</v>
      </c>
      <c r="IM63" s="34" t="e">
        <f>AND(#REF!,"AAAAAF/5+/Y=")</f>
        <v>#REF!</v>
      </c>
      <c r="IN63" s="34" t="e">
        <f>AND(#REF!,"AAAAAF/5+/c=")</f>
        <v>#REF!</v>
      </c>
      <c r="IO63" s="34" t="e">
        <f>AND(#REF!,"AAAAAF/5+/g=")</f>
        <v>#REF!</v>
      </c>
      <c r="IP63" s="34" t="e">
        <f>AND(#REF!,"AAAAAF/5+/k=")</f>
        <v>#REF!</v>
      </c>
      <c r="IQ63" s="34" t="e">
        <f>AND(#REF!,"AAAAAF/5+/o=")</f>
        <v>#REF!</v>
      </c>
      <c r="IR63" s="34" t="e">
        <f>AND(#REF!,"AAAAAF/5+/s=")</f>
        <v>#REF!</v>
      </c>
      <c r="IS63" s="34" t="e">
        <f>AND(#REF!,"AAAAAF/5+/w=")</f>
        <v>#REF!</v>
      </c>
      <c r="IT63" s="34" t="e">
        <f>AND(#REF!,"AAAAAF/5+/0=")</f>
        <v>#REF!</v>
      </c>
      <c r="IU63" s="34" t="e">
        <f>AND(#REF!,"AAAAAF/5+/4=")</f>
        <v>#REF!</v>
      </c>
      <c r="IV63" s="34" t="e">
        <f>AND(#REF!,"AAAAAF/5+/8=")</f>
        <v>#REF!</v>
      </c>
    </row>
    <row r="64" spans="1:256" ht="12.75" customHeight="1" x14ac:dyDescent="0.2">
      <c r="A64" s="34" t="e">
        <f>AND(#REF!,"AAAAAHbaZQA=")</f>
        <v>#REF!</v>
      </c>
      <c r="B64" s="34" t="e">
        <f>AND(#REF!,"AAAAAHbaZQE=")</f>
        <v>#REF!</v>
      </c>
      <c r="C64" s="34" t="e">
        <f>AND(#REF!,"AAAAAHbaZQI=")</f>
        <v>#REF!</v>
      </c>
      <c r="D64" s="34" t="e">
        <f>AND(#REF!,"AAAAAHbaZQM=")</f>
        <v>#REF!</v>
      </c>
      <c r="E64" s="34" t="e">
        <f>AND(#REF!,"AAAAAHbaZQQ=")</f>
        <v>#REF!</v>
      </c>
      <c r="F64" s="34" t="e">
        <f>AND(#REF!,"AAAAAHbaZQU=")</f>
        <v>#REF!</v>
      </c>
      <c r="G64" s="34" t="e">
        <f>AND(#REF!,"AAAAAHbaZQY=")</f>
        <v>#REF!</v>
      </c>
      <c r="H64" s="34" t="e">
        <f>AND(#REF!,"AAAAAHbaZQc=")</f>
        <v>#REF!</v>
      </c>
      <c r="I64" s="34" t="e">
        <f>AND(#REF!,"AAAAAHbaZQg=")</f>
        <v>#REF!</v>
      </c>
      <c r="J64" s="34" t="e">
        <f>AND(#REF!,"AAAAAHbaZQk=")</f>
        <v>#REF!</v>
      </c>
      <c r="K64" s="34" t="e">
        <f>AND(#REF!,"AAAAAHbaZQo=")</f>
        <v>#REF!</v>
      </c>
      <c r="L64" s="34" t="e">
        <f>AND(#REF!,"AAAAAHbaZQs=")</f>
        <v>#REF!</v>
      </c>
      <c r="M64" s="34" t="e">
        <f>AND(#REF!,"AAAAAHbaZQw=")</f>
        <v>#REF!</v>
      </c>
      <c r="N64" s="34" t="e">
        <f>AND(#REF!,"AAAAAHbaZQ0=")</f>
        <v>#REF!</v>
      </c>
      <c r="O64" s="34" t="e">
        <f>AND(#REF!,"AAAAAHbaZQ4=")</f>
        <v>#REF!</v>
      </c>
      <c r="P64" s="34" t="e">
        <f>AND(#REF!,"AAAAAHbaZQ8=")</f>
        <v>#REF!</v>
      </c>
      <c r="Q64" s="34" t="e">
        <f>AND(#REF!,"AAAAAHbaZRA=")</f>
        <v>#REF!</v>
      </c>
      <c r="R64" s="34" t="e">
        <f>AND(#REF!,"AAAAAHbaZRE=")</f>
        <v>#REF!</v>
      </c>
      <c r="S64" s="34" t="e">
        <f>AND(#REF!,"AAAAAHbaZRI=")</f>
        <v>#REF!</v>
      </c>
      <c r="T64" s="34" t="e">
        <f>AND(#REF!,"AAAAAHbaZRM=")</f>
        <v>#REF!</v>
      </c>
      <c r="U64" s="34" t="e">
        <f>AND(#REF!,"AAAAAHbaZRQ=")</f>
        <v>#REF!</v>
      </c>
      <c r="V64" s="34" t="e">
        <f>AND(#REF!,"AAAAAHbaZRU=")</f>
        <v>#REF!</v>
      </c>
      <c r="W64" s="34" t="e">
        <f>AND(#REF!,"AAAAAHbaZRY=")</f>
        <v>#REF!</v>
      </c>
      <c r="X64" s="34" t="e">
        <f>AND(#REF!,"AAAAAHbaZRc=")</f>
        <v>#REF!</v>
      </c>
      <c r="Y64" s="34" t="e">
        <f>AND(#REF!,"AAAAAHbaZRg=")</f>
        <v>#REF!</v>
      </c>
      <c r="Z64" s="34" t="e">
        <f>AND(#REF!,"AAAAAHbaZRk=")</f>
        <v>#REF!</v>
      </c>
      <c r="AA64" s="34" t="e">
        <f>AND(#REF!,"AAAAAHbaZRo=")</f>
        <v>#REF!</v>
      </c>
      <c r="AB64" s="34" t="e">
        <f>AND(#REF!,"AAAAAHbaZRs=")</f>
        <v>#REF!</v>
      </c>
      <c r="AC64" s="34" t="e">
        <f>AND(#REF!,"AAAAAHbaZRw=")</f>
        <v>#REF!</v>
      </c>
      <c r="AD64" s="34" t="e">
        <f>AND(#REF!,"AAAAAHbaZR0=")</f>
        <v>#REF!</v>
      </c>
      <c r="AE64" s="34" t="e">
        <f>IF(#REF!,"AAAAAHbaZR4=",0)</f>
        <v>#REF!</v>
      </c>
      <c r="AF64" s="34" t="e">
        <f>AND(#REF!,"AAAAAHbaZR8=")</f>
        <v>#REF!</v>
      </c>
      <c r="AG64" s="34" t="e">
        <f>AND(#REF!,"AAAAAHbaZSA=")</f>
        <v>#REF!</v>
      </c>
      <c r="AH64" s="34" t="e">
        <f>AND(#REF!,"AAAAAHbaZSE=")</f>
        <v>#REF!</v>
      </c>
      <c r="AI64" s="34" t="e">
        <f>AND(#REF!,"AAAAAHbaZSI=")</f>
        <v>#REF!</v>
      </c>
      <c r="AJ64" s="34" t="e">
        <f>AND(#REF!,"AAAAAHbaZSM=")</f>
        <v>#REF!</v>
      </c>
      <c r="AK64" s="34" t="e">
        <f>AND(#REF!,"AAAAAHbaZSQ=")</f>
        <v>#REF!</v>
      </c>
      <c r="AL64" s="34" t="e">
        <f>AND(#REF!,"AAAAAHbaZSU=")</f>
        <v>#REF!</v>
      </c>
      <c r="AM64" s="34" t="e">
        <f>AND(#REF!,"AAAAAHbaZSY=")</f>
        <v>#REF!</v>
      </c>
      <c r="AN64" s="34" t="e">
        <f>AND(#REF!,"AAAAAHbaZSc=")</f>
        <v>#REF!</v>
      </c>
      <c r="AO64" s="34" t="e">
        <f>AND(#REF!,"AAAAAHbaZSg=")</f>
        <v>#REF!</v>
      </c>
      <c r="AP64" s="34" t="e">
        <f>AND(#REF!,"AAAAAHbaZSk=")</f>
        <v>#REF!</v>
      </c>
      <c r="AQ64" s="34" t="e">
        <f>AND(#REF!,"AAAAAHbaZSo=")</f>
        <v>#REF!</v>
      </c>
      <c r="AR64" s="34" t="e">
        <f>AND(#REF!,"AAAAAHbaZSs=")</f>
        <v>#REF!</v>
      </c>
      <c r="AS64" s="34" t="e">
        <f>AND(#REF!,"AAAAAHbaZSw=")</f>
        <v>#REF!</v>
      </c>
      <c r="AT64" s="34" t="e">
        <f>AND(#REF!,"AAAAAHbaZS0=")</f>
        <v>#REF!</v>
      </c>
      <c r="AU64" s="34" t="e">
        <f>AND(#REF!,"AAAAAHbaZS4=")</f>
        <v>#REF!</v>
      </c>
      <c r="AV64" s="34" t="e">
        <f>AND(#REF!,"AAAAAHbaZS8=")</f>
        <v>#REF!</v>
      </c>
      <c r="AW64" s="34" t="e">
        <f>AND(#REF!,"AAAAAHbaZTA=")</f>
        <v>#REF!</v>
      </c>
      <c r="AX64" s="34" t="e">
        <f>AND(#REF!,"AAAAAHbaZTE=")</f>
        <v>#REF!</v>
      </c>
      <c r="AY64" s="34" t="e">
        <f>AND(#REF!,"AAAAAHbaZTI=")</f>
        <v>#REF!</v>
      </c>
      <c r="AZ64" s="34" t="e">
        <f>AND(#REF!,"AAAAAHbaZTM=")</f>
        <v>#REF!</v>
      </c>
      <c r="BA64" s="34" t="e">
        <f>AND(#REF!,"AAAAAHbaZTQ=")</f>
        <v>#REF!</v>
      </c>
      <c r="BB64" s="34" t="e">
        <f>AND(#REF!,"AAAAAHbaZTU=")</f>
        <v>#REF!</v>
      </c>
      <c r="BC64" s="34" t="e">
        <f>AND(#REF!,"AAAAAHbaZTY=")</f>
        <v>#REF!</v>
      </c>
      <c r="BD64" s="34" t="e">
        <f>AND(#REF!,"AAAAAHbaZTc=")</f>
        <v>#REF!</v>
      </c>
      <c r="BE64" s="34" t="e">
        <f>AND(#REF!,"AAAAAHbaZTg=")</f>
        <v>#REF!</v>
      </c>
      <c r="BF64" s="34" t="e">
        <f>AND(#REF!,"AAAAAHbaZTk=")</f>
        <v>#REF!</v>
      </c>
      <c r="BG64" s="34" t="e">
        <f>AND(#REF!,"AAAAAHbaZTo=")</f>
        <v>#REF!</v>
      </c>
      <c r="BH64" s="34" t="e">
        <f>AND(#REF!,"AAAAAHbaZTs=")</f>
        <v>#REF!</v>
      </c>
      <c r="BI64" s="34" t="e">
        <f>AND(#REF!,"AAAAAHbaZTw=")</f>
        <v>#REF!</v>
      </c>
      <c r="BJ64" s="34" t="e">
        <f>AND(#REF!,"AAAAAHbaZT0=")</f>
        <v>#REF!</v>
      </c>
      <c r="BK64" s="34" t="e">
        <f>AND(#REF!,"AAAAAHbaZT4=")</f>
        <v>#REF!</v>
      </c>
      <c r="BL64" s="34" t="e">
        <f>AND(#REF!,"AAAAAHbaZT8=")</f>
        <v>#REF!</v>
      </c>
      <c r="BM64" s="34" t="e">
        <f>AND(#REF!,"AAAAAHbaZUA=")</f>
        <v>#REF!</v>
      </c>
      <c r="BN64" s="34" t="e">
        <f>AND(#REF!,"AAAAAHbaZUE=")</f>
        <v>#REF!</v>
      </c>
      <c r="BO64" s="34" t="e">
        <f>AND(#REF!,"AAAAAHbaZUI=")</f>
        <v>#REF!</v>
      </c>
      <c r="BP64" s="34" t="e">
        <f>AND(#REF!,"AAAAAHbaZUM=")</f>
        <v>#REF!</v>
      </c>
      <c r="BQ64" s="34" t="e">
        <f>AND(#REF!,"AAAAAHbaZUQ=")</f>
        <v>#REF!</v>
      </c>
      <c r="BR64" s="34" t="e">
        <f>AND(#REF!,"AAAAAHbaZUU=")</f>
        <v>#REF!</v>
      </c>
      <c r="BS64" s="34" t="e">
        <f>AND(#REF!,"AAAAAHbaZUY=")</f>
        <v>#REF!</v>
      </c>
      <c r="BT64" s="34" t="e">
        <f>AND(#REF!,"AAAAAHbaZUc=")</f>
        <v>#REF!</v>
      </c>
      <c r="BU64" s="34" t="e">
        <f>AND(#REF!,"AAAAAHbaZUg=")</f>
        <v>#REF!</v>
      </c>
      <c r="BV64" s="34" t="e">
        <f>AND(#REF!,"AAAAAHbaZUk=")</f>
        <v>#REF!</v>
      </c>
      <c r="BW64" s="34" t="e">
        <f>AND(#REF!,"AAAAAHbaZUo=")</f>
        <v>#REF!</v>
      </c>
      <c r="BX64" s="34" t="e">
        <f>AND(#REF!,"AAAAAHbaZUs=")</f>
        <v>#REF!</v>
      </c>
      <c r="BY64" s="34" t="e">
        <f>AND(#REF!,"AAAAAHbaZUw=")</f>
        <v>#REF!</v>
      </c>
      <c r="BZ64" s="34" t="e">
        <f>AND(#REF!,"AAAAAHbaZU0=")</f>
        <v>#REF!</v>
      </c>
      <c r="CA64" s="34" t="e">
        <f>AND(#REF!,"AAAAAHbaZU4=")</f>
        <v>#REF!</v>
      </c>
      <c r="CB64" s="34" t="e">
        <f>AND(#REF!,"AAAAAHbaZU8=")</f>
        <v>#REF!</v>
      </c>
      <c r="CC64" s="34" t="e">
        <f>AND(#REF!,"AAAAAHbaZVA=")</f>
        <v>#REF!</v>
      </c>
      <c r="CD64" s="34" t="e">
        <f>AND(#REF!,"AAAAAHbaZVE=")</f>
        <v>#REF!</v>
      </c>
      <c r="CE64" s="34" t="e">
        <f>AND(#REF!,"AAAAAHbaZVI=")</f>
        <v>#REF!</v>
      </c>
      <c r="CF64" s="34" t="e">
        <f>AND(#REF!,"AAAAAHbaZVM=")</f>
        <v>#REF!</v>
      </c>
      <c r="CG64" s="34" t="e">
        <f>AND(#REF!,"AAAAAHbaZVQ=")</f>
        <v>#REF!</v>
      </c>
      <c r="CH64" s="34" t="e">
        <f>AND(#REF!,"AAAAAHbaZVU=")</f>
        <v>#REF!</v>
      </c>
      <c r="CI64" s="34" t="e">
        <f>AND(#REF!,"AAAAAHbaZVY=")</f>
        <v>#REF!</v>
      </c>
      <c r="CJ64" s="34" t="e">
        <f>AND(#REF!,"AAAAAHbaZVc=")</f>
        <v>#REF!</v>
      </c>
      <c r="CK64" s="34" t="e">
        <f>AND(#REF!,"AAAAAHbaZVg=")</f>
        <v>#REF!</v>
      </c>
      <c r="CL64" s="34" t="e">
        <f>AND(#REF!,"AAAAAHbaZVk=")</f>
        <v>#REF!</v>
      </c>
      <c r="CM64" s="34" t="e">
        <f>AND(#REF!,"AAAAAHbaZVo=")</f>
        <v>#REF!</v>
      </c>
      <c r="CN64" s="34" t="e">
        <f>AND(#REF!,"AAAAAHbaZVs=")</f>
        <v>#REF!</v>
      </c>
      <c r="CO64" s="34" t="e">
        <f>AND(#REF!,"AAAAAHbaZVw=")</f>
        <v>#REF!</v>
      </c>
      <c r="CP64" s="34" t="e">
        <f>AND(#REF!,"AAAAAHbaZV0=")</f>
        <v>#REF!</v>
      </c>
      <c r="CQ64" s="34" t="e">
        <f>AND(#REF!,"AAAAAHbaZV4=")</f>
        <v>#REF!</v>
      </c>
      <c r="CR64" s="34" t="e">
        <f>AND(#REF!,"AAAAAHbaZV8=")</f>
        <v>#REF!</v>
      </c>
      <c r="CS64" s="34" t="e">
        <f>AND(#REF!,"AAAAAHbaZWA=")</f>
        <v>#REF!</v>
      </c>
      <c r="CT64" s="34" t="e">
        <f>AND(#REF!,"AAAAAHbaZWE=")</f>
        <v>#REF!</v>
      </c>
      <c r="CU64" s="34" t="e">
        <f>AND(#REF!,"AAAAAHbaZWI=")</f>
        <v>#REF!</v>
      </c>
      <c r="CV64" s="34" t="e">
        <f>AND(#REF!,"AAAAAHbaZWM=")</f>
        <v>#REF!</v>
      </c>
      <c r="CW64" s="34" t="e">
        <f>AND(#REF!,"AAAAAHbaZWQ=")</f>
        <v>#REF!</v>
      </c>
      <c r="CX64" s="34" t="e">
        <f>AND(#REF!,"AAAAAHbaZWU=")</f>
        <v>#REF!</v>
      </c>
      <c r="CY64" s="34" t="e">
        <f>AND(#REF!,"AAAAAHbaZWY=")</f>
        <v>#REF!</v>
      </c>
      <c r="CZ64" s="34" t="e">
        <f>IF(#REF!,"AAAAAHbaZWc=",0)</f>
        <v>#REF!</v>
      </c>
      <c r="DA64" s="34" t="e">
        <f>AND(#REF!,"AAAAAHbaZWg=")</f>
        <v>#REF!</v>
      </c>
      <c r="DB64" s="34" t="e">
        <f>AND(#REF!,"AAAAAHbaZWk=")</f>
        <v>#REF!</v>
      </c>
      <c r="DC64" s="34" t="e">
        <f>AND(#REF!,"AAAAAHbaZWo=")</f>
        <v>#REF!</v>
      </c>
      <c r="DD64" s="34" t="e">
        <f>AND(#REF!,"AAAAAHbaZWs=")</f>
        <v>#REF!</v>
      </c>
      <c r="DE64" s="34" t="e">
        <f>AND(#REF!,"AAAAAHbaZWw=")</f>
        <v>#REF!</v>
      </c>
      <c r="DF64" s="34" t="e">
        <f>AND(#REF!,"AAAAAHbaZW0=")</f>
        <v>#REF!</v>
      </c>
      <c r="DG64" s="34" t="e">
        <f>AND(#REF!,"AAAAAHbaZW4=")</f>
        <v>#REF!</v>
      </c>
      <c r="DH64" s="34" t="e">
        <f>AND(#REF!,"AAAAAHbaZW8=")</f>
        <v>#REF!</v>
      </c>
      <c r="DI64" s="34" t="e">
        <f>AND(#REF!,"AAAAAHbaZXA=")</f>
        <v>#REF!</v>
      </c>
      <c r="DJ64" s="34" t="e">
        <f>AND(#REF!,"AAAAAHbaZXE=")</f>
        <v>#REF!</v>
      </c>
      <c r="DK64" s="34" t="e">
        <f>AND(#REF!,"AAAAAHbaZXI=")</f>
        <v>#REF!</v>
      </c>
      <c r="DL64" s="34" t="e">
        <f>AND(#REF!,"AAAAAHbaZXM=")</f>
        <v>#REF!</v>
      </c>
      <c r="DM64" s="34" t="e">
        <f>AND(#REF!,"AAAAAHbaZXQ=")</f>
        <v>#REF!</v>
      </c>
      <c r="DN64" s="34" t="e">
        <f>AND(#REF!,"AAAAAHbaZXU=")</f>
        <v>#REF!</v>
      </c>
      <c r="DO64" s="34" t="e">
        <f>AND(#REF!,"AAAAAHbaZXY=")</f>
        <v>#REF!</v>
      </c>
      <c r="DP64" s="34" t="e">
        <f>AND(#REF!,"AAAAAHbaZXc=")</f>
        <v>#REF!</v>
      </c>
      <c r="DQ64" s="34" t="e">
        <f>AND(#REF!,"AAAAAHbaZXg=")</f>
        <v>#REF!</v>
      </c>
      <c r="DR64" s="34" t="e">
        <f>AND(#REF!,"AAAAAHbaZXk=")</f>
        <v>#REF!</v>
      </c>
      <c r="DS64" s="34" t="e">
        <f>AND(#REF!,"AAAAAHbaZXo=")</f>
        <v>#REF!</v>
      </c>
      <c r="DT64" s="34" t="e">
        <f>AND(#REF!,"AAAAAHbaZXs=")</f>
        <v>#REF!</v>
      </c>
      <c r="DU64" s="34" t="e">
        <f>AND(#REF!,"AAAAAHbaZXw=")</f>
        <v>#REF!</v>
      </c>
      <c r="DV64" s="34" t="e">
        <f>AND(#REF!,"AAAAAHbaZX0=")</f>
        <v>#REF!</v>
      </c>
      <c r="DW64" s="34" t="e">
        <f>AND(#REF!,"AAAAAHbaZX4=")</f>
        <v>#REF!</v>
      </c>
      <c r="DX64" s="34" t="e">
        <f>AND(#REF!,"AAAAAHbaZX8=")</f>
        <v>#REF!</v>
      </c>
      <c r="DY64" s="34" t="e">
        <f>AND(#REF!,"AAAAAHbaZYA=")</f>
        <v>#REF!</v>
      </c>
      <c r="DZ64" s="34" t="e">
        <f>AND(#REF!,"AAAAAHbaZYE=")</f>
        <v>#REF!</v>
      </c>
      <c r="EA64" s="34" t="e">
        <f>AND(#REF!,"AAAAAHbaZYI=")</f>
        <v>#REF!</v>
      </c>
      <c r="EB64" s="34" t="e">
        <f>AND(#REF!,"AAAAAHbaZYM=")</f>
        <v>#REF!</v>
      </c>
      <c r="EC64" s="34" t="e">
        <f>AND(#REF!,"AAAAAHbaZYQ=")</f>
        <v>#REF!</v>
      </c>
      <c r="ED64" s="34" t="e">
        <f>AND(#REF!,"AAAAAHbaZYU=")</f>
        <v>#REF!</v>
      </c>
      <c r="EE64" s="34" t="e">
        <f>AND(#REF!,"AAAAAHbaZYY=")</f>
        <v>#REF!</v>
      </c>
      <c r="EF64" s="34" t="e">
        <f>AND(#REF!,"AAAAAHbaZYc=")</f>
        <v>#REF!</v>
      </c>
      <c r="EG64" s="34" t="e">
        <f>AND(#REF!,"AAAAAHbaZYg=")</f>
        <v>#REF!</v>
      </c>
      <c r="EH64" s="34" t="e">
        <f>AND(#REF!,"AAAAAHbaZYk=")</f>
        <v>#REF!</v>
      </c>
      <c r="EI64" s="34" t="e">
        <f>AND(#REF!,"AAAAAHbaZYo=")</f>
        <v>#REF!</v>
      </c>
      <c r="EJ64" s="34" t="e">
        <f>AND(#REF!,"AAAAAHbaZYs=")</f>
        <v>#REF!</v>
      </c>
      <c r="EK64" s="34" t="e">
        <f>AND(#REF!,"AAAAAHbaZYw=")</f>
        <v>#REF!</v>
      </c>
      <c r="EL64" s="34" t="e">
        <f>AND(#REF!,"AAAAAHbaZY0=")</f>
        <v>#REF!</v>
      </c>
      <c r="EM64" s="34" t="e">
        <f>AND(#REF!,"AAAAAHbaZY4=")</f>
        <v>#REF!</v>
      </c>
      <c r="EN64" s="34" t="e">
        <f>AND(#REF!,"AAAAAHbaZY8=")</f>
        <v>#REF!</v>
      </c>
      <c r="EO64" s="34" t="e">
        <f>AND(#REF!,"AAAAAHbaZZA=")</f>
        <v>#REF!</v>
      </c>
      <c r="EP64" s="34" t="e">
        <f>AND(#REF!,"AAAAAHbaZZE=")</f>
        <v>#REF!</v>
      </c>
      <c r="EQ64" s="34" t="e">
        <f>AND(#REF!,"AAAAAHbaZZI=")</f>
        <v>#REF!</v>
      </c>
      <c r="ER64" s="34" t="e">
        <f>AND(#REF!,"AAAAAHbaZZM=")</f>
        <v>#REF!</v>
      </c>
      <c r="ES64" s="34" t="e">
        <f>AND(#REF!,"AAAAAHbaZZQ=")</f>
        <v>#REF!</v>
      </c>
      <c r="ET64" s="34" t="e">
        <f>AND(#REF!,"AAAAAHbaZZU=")</f>
        <v>#REF!</v>
      </c>
      <c r="EU64" s="34" t="e">
        <f>AND(#REF!,"AAAAAHbaZZY=")</f>
        <v>#REF!</v>
      </c>
      <c r="EV64" s="34" t="e">
        <f>AND(#REF!,"AAAAAHbaZZc=")</f>
        <v>#REF!</v>
      </c>
      <c r="EW64" s="34" t="e">
        <f>AND(#REF!,"AAAAAHbaZZg=")</f>
        <v>#REF!</v>
      </c>
      <c r="EX64" s="34" t="e">
        <f>AND(#REF!,"AAAAAHbaZZk=")</f>
        <v>#REF!</v>
      </c>
      <c r="EY64" s="34" t="e">
        <f>AND(#REF!,"AAAAAHbaZZo=")</f>
        <v>#REF!</v>
      </c>
      <c r="EZ64" s="34" t="e">
        <f>AND(#REF!,"AAAAAHbaZZs=")</f>
        <v>#REF!</v>
      </c>
      <c r="FA64" s="34" t="e">
        <f>AND(#REF!,"AAAAAHbaZZw=")</f>
        <v>#REF!</v>
      </c>
      <c r="FB64" s="34" t="e">
        <f>AND(#REF!,"AAAAAHbaZZ0=")</f>
        <v>#REF!</v>
      </c>
      <c r="FC64" s="34" t="e">
        <f>AND(#REF!,"AAAAAHbaZZ4=")</f>
        <v>#REF!</v>
      </c>
      <c r="FD64" s="34" t="e">
        <f>AND(#REF!,"AAAAAHbaZZ8=")</f>
        <v>#REF!</v>
      </c>
      <c r="FE64" s="34" t="e">
        <f>AND(#REF!,"AAAAAHbaZaA=")</f>
        <v>#REF!</v>
      </c>
      <c r="FF64" s="34" t="e">
        <f>AND(#REF!,"AAAAAHbaZaE=")</f>
        <v>#REF!</v>
      </c>
      <c r="FG64" s="34" t="e">
        <f>AND(#REF!,"AAAAAHbaZaI=")</f>
        <v>#REF!</v>
      </c>
      <c r="FH64" s="34" t="e">
        <f>AND(#REF!,"AAAAAHbaZaM=")</f>
        <v>#REF!</v>
      </c>
      <c r="FI64" s="34" t="e">
        <f>AND(#REF!,"AAAAAHbaZaQ=")</f>
        <v>#REF!</v>
      </c>
      <c r="FJ64" s="34" t="e">
        <f>AND(#REF!,"AAAAAHbaZaU=")</f>
        <v>#REF!</v>
      </c>
      <c r="FK64" s="34" t="e">
        <f>AND(#REF!,"AAAAAHbaZaY=")</f>
        <v>#REF!</v>
      </c>
      <c r="FL64" s="34" t="e">
        <f>AND(#REF!,"AAAAAHbaZac=")</f>
        <v>#REF!</v>
      </c>
      <c r="FM64" s="34" t="e">
        <f>AND(#REF!,"AAAAAHbaZag=")</f>
        <v>#REF!</v>
      </c>
      <c r="FN64" s="34" t="e">
        <f>AND(#REF!,"AAAAAHbaZak=")</f>
        <v>#REF!</v>
      </c>
      <c r="FO64" s="34" t="e">
        <f>AND(#REF!,"AAAAAHbaZao=")</f>
        <v>#REF!</v>
      </c>
      <c r="FP64" s="34" t="e">
        <f>AND(#REF!,"AAAAAHbaZas=")</f>
        <v>#REF!</v>
      </c>
      <c r="FQ64" s="34" t="e">
        <f>AND(#REF!,"AAAAAHbaZaw=")</f>
        <v>#REF!</v>
      </c>
      <c r="FR64" s="34" t="e">
        <f>AND(#REF!,"AAAAAHbaZa0=")</f>
        <v>#REF!</v>
      </c>
      <c r="FS64" s="34" t="e">
        <f>AND(#REF!,"AAAAAHbaZa4=")</f>
        <v>#REF!</v>
      </c>
      <c r="FT64" s="34" t="e">
        <f>AND(#REF!,"AAAAAHbaZa8=")</f>
        <v>#REF!</v>
      </c>
      <c r="FU64" s="34" t="e">
        <f>IF(#REF!,"AAAAAHbaZbA=",0)</f>
        <v>#REF!</v>
      </c>
      <c r="FV64" s="34" t="e">
        <f>AND(#REF!,"AAAAAHbaZbE=")</f>
        <v>#REF!</v>
      </c>
      <c r="FW64" s="34" t="e">
        <f>AND(#REF!,"AAAAAHbaZbI=")</f>
        <v>#REF!</v>
      </c>
      <c r="FX64" s="34" t="e">
        <f>AND(#REF!,"AAAAAHbaZbM=")</f>
        <v>#REF!</v>
      </c>
      <c r="FY64" s="34" t="e">
        <f>AND(#REF!,"AAAAAHbaZbQ=")</f>
        <v>#REF!</v>
      </c>
      <c r="FZ64" s="34" t="e">
        <f>AND(#REF!,"AAAAAHbaZbU=")</f>
        <v>#REF!</v>
      </c>
      <c r="GA64" s="34" t="e">
        <f>AND(#REF!,"AAAAAHbaZbY=")</f>
        <v>#REF!</v>
      </c>
      <c r="GB64" s="34" t="e">
        <f>AND(#REF!,"AAAAAHbaZbc=")</f>
        <v>#REF!</v>
      </c>
      <c r="GC64" s="34" t="e">
        <f>AND(#REF!,"AAAAAHbaZbg=")</f>
        <v>#REF!</v>
      </c>
      <c r="GD64" s="34" t="e">
        <f>AND(#REF!,"AAAAAHbaZbk=")</f>
        <v>#REF!</v>
      </c>
      <c r="GE64" s="34" t="e">
        <f>AND(#REF!,"AAAAAHbaZbo=")</f>
        <v>#REF!</v>
      </c>
      <c r="GF64" s="34" t="e">
        <f>AND(#REF!,"AAAAAHbaZbs=")</f>
        <v>#REF!</v>
      </c>
      <c r="GG64" s="34" t="e">
        <f>AND(#REF!,"AAAAAHbaZbw=")</f>
        <v>#REF!</v>
      </c>
      <c r="GH64" s="34" t="e">
        <f>AND(#REF!,"AAAAAHbaZb0=")</f>
        <v>#REF!</v>
      </c>
      <c r="GI64" s="34" t="e">
        <f>AND(#REF!,"AAAAAHbaZb4=")</f>
        <v>#REF!</v>
      </c>
      <c r="GJ64" s="34" t="e">
        <f>AND(#REF!,"AAAAAHbaZb8=")</f>
        <v>#REF!</v>
      </c>
      <c r="GK64" s="34" t="e">
        <f>AND(#REF!,"AAAAAHbaZcA=")</f>
        <v>#REF!</v>
      </c>
      <c r="GL64" s="34" t="e">
        <f>AND(#REF!,"AAAAAHbaZcE=")</f>
        <v>#REF!</v>
      </c>
      <c r="GM64" s="34" t="e">
        <f>AND(#REF!,"AAAAAHbaZcI=")</f>
        <v>#REF!</v>
      </c>
      <c r="GN64" s="34" t="e">
        <f>AND(#REF!,"AAAAAHbaZcM=")</f>
        <v>#REF!</v>
      </c>
      <c r="GO64" s="34" t="e">
        <f>AND(#REF!,"AAAAAHbaZcQ=")</f>
        <v>#REF!</v>
      </c>
      <c r="GP64" s="34" t="e">
        <f>AND(#REF!,"AAAAAHbaZcU=")</f>
        <v>#REF!</v>
      </c>
      <c r="GQ64" s="34" t="e">
        <f>AND(#REF!,"AAAAAHbaZcY=")</f>
        <v>#REF!</v>
      </c>
      <c r="GR64" s="34" t="e">
        <f>AND(#REF!,"AAAAAHbaZcc=")</f>
        <v>#REF!</v>
      </c>
      <c r="GS64" s="34" t="e">
        <f>AND(#REF!,"AAAAAHbaZcg=")</f>
        <v>#REF!</v>
      </c>
      <c r="GT64" s="34" t="e">
        <f>AND(#REF!,"AAAAAHbaZck=")</f>
        <v>#REF!</v>
      </c>
      <c r="GU64" s="34" t="e">
        <f>AND(#REF!,"AAAAAHbaZco=")</f>
        <v>#REF!</v>
      </c>
      <c r="GV64" s="34" t="e">
        <f>AND(#REF!,"AAAAAHbaZcs=")</f>
        <v>#REF!</v>
      </c>
      <c r="GW64" s="34" t="e">
        <f>AND(#REF!,"AAAAAHbaZcw=")</f>
        <v>#REF!</v>
      </c>
      <c r="GX64" s="34" t="e">
        <f>AND(#REF!,"AAAAAHbaZc0=")</f>
        <v>#REF!</v>
      </c>
      <c r="GY64" s="34" t="e">
        <f>AND(#REF!,"AAAAAHbaZc4=")</f>
        <v>#REF!</v>
      </c>
      <c r="GZ64" s="34" t="e">
        <f>AND(#REF!,"AAAAAHbaZc8=")</f>
        <v>#REF!</v>
      </c>
      <c r="HA64" s="34" t="e">
        <f>AND(#REF!,"AAAAAHbaZdA=")</f>
        <v>#REF!</v>
      </c>
      <c r="HB64" s="34" t="e">
        <f>AND(#REF!,"AAAAAHbaZdE=")</f>
        <v>#REF!</v>
      </c>
      <c r="HC64" s="34" t="e">
        <f>AND(#REF!,"AAAAAHbaZdI=")</f>
        <v>#REF!</v>
      </c>
      <c r="HD64" s="34" t="e">
        <f>AND(#REF!,"AAAAAHbaZdM=")</f>
        <v>#REF!</v>
      </c>
      <c r="HE64" s="34" t="e">
        <f>AND(#REF!,"AAAAAHbaZdQ=")</f>
        <v>#REF!</v>
      </c>
      <c r="HF64" s="34" t="e">
        <f>AND(#REF!,"AAAAAHbaZdU=")</f>
        <v>#REF!</v>
      </c>
      <c r="HG64" s="34" t="e">
        <f>AND(#REF!,"AAAAAHbaZdY=")</f>
        <v>#REF!</v>
      </c>
      <c r="HH64" s="34" t="e">
        <f>AND(#REF!,"AAAAAHbaZdc=")</f>
        <v>#REF!</v>
      </c>
      <c r="HI64" s="34" t="e">
        <f>AND(#REF!,"AAAAAHbaZdg=")</f>
        <v>#REF!</v>
      </c>
      <c r="HJ64" s="34" t="e">
        <f>AND(#REF!,"AAAAAHbaZdk=")</f>
        <v>#REF!</v>
      </c>
      <c r="HK64" s="34" t="e">
        <f>AND(#REF!,"AAAAAHbaZdo=")</f>
        <v>#REF!</v>
      </c>
      <c r="HL64" s="34" t="e">
        <f>AND(#REF!,"AAAAAHbaZds=")</f>
        <v>#REF!</v>
      </c>
      <c r="HM64" s="34" t="e">
        <f>AND(#REF!,"AAAAAHbaZdw=")</f>
        <v>#REF!</v>
      </c>
      <c r="HN64" s="34" t="e">
        <f>AND(#REF!,"AAAAAHbaZd0=")</f>
        <v>#REF!</v>
      </c>
      <c r="HO64" s="34" t="e">
        <f>AND(#REF!,"AAAAAHbaZd4=")</f>
        <v>#REF!</v>
      </c>
      <c r="HP64" s="34" t="e">
        <f>AND(#REF!,"AAAAAHbaZd8=")</f>
        <v>#REF!</v>
      </c>
      <c r="HQ64" s="34" t="e">
        <f>AND(#REF!,"AAAAAHbaZeA=")</f>
        <v>#REF!</v>
      </c>
      <c r="HR64" s="34" t="e">
        <f>AND(#REF!,"AAAAAHbaZeE=")</f>
        <v>#REF!</v>
      </c>
      <c r="HS64" s="34" t="e">
        <f>AND(#REF!,"AAAAAHbaZeI=")</f>
        <v>#REF!</v>
      </c>
      <c r="HT64" s="34" t="e">
        <f>AND(#REF!,"AAAAAHbaZeM=")</f>
        <v>#REF!</v>
      </c>
      <c r="HU64" s="34" t="e">
        <f>AND(#REF!,"AAAAAHbaZeQ=")</f>
        <v>#REF!</v>
      </c>
      <c r="HV64" s="34" t="e">
        <f>AND(#REF!,"AAAAAHbaZeU=")</f>
        <v>#REF!</v>
      </c>
      <c r="HW64" s="34" t="e">
        <f>AND(#REF!,"AAAAAHbaZeY=")</f>
        <v>#REF!</v>
      </c>
      <c r="HX64" s="34" t="e">
        <f>AND(#REF!,"AAAAAHbaZec=")</f>
        <v>#REF!</v>
      </c>
      <c r="HY64" s="34" t="e">
        <f>AND(#REF!,"AAAAAHbaZeg=")</f>
        <v>#REF!</v>
      </c>
      <c r="HZ64" s="34" t="e">
        <f>AND(#REF!,"AAAAAHbaZek=")</f>
        <v>#REF!</v>
      </c>
      <c r="IA64" s="34" t="e">
        <f>AND(#REF!,"AAAAAHbaZeo=")</f>
        <v>#REF!</v>
      </c>
      <c r="IB64" s="34" t="e">
        <f>AND(#REF!,"AAAAAHbaZes=")</f>
        <v>#REF!</v>
      </c>
      <c r="IC64" s="34" t="e">
        <f>AND(#REF!,"AAAAAHbaZew=")</f>
        <v>#REF!</v>
      </c>
      <c r="ID64" s="34" t="e">
        <f>AND(#REF!,"AAAAAHbaZe0=")</f>
        <v>#REF!</v>
      </c>
      <c r="IE64" s="34" t="e">
        <f>AND(#REF!,"AAAAAHbaZe4=")</f>
        <v>#REF!</v>
      </c>
      <c r="IF64" s="34" t="e">
        <f>AND(#REF!,"AAAAAHbaZe8=")</f>
        <v>#REF!</v>
      </c>
      <c r="IG64" s="34" t="e">
        <f>AND(#REF!,"AAAAAHbaZfA=")</f>
        <v>#REF!</v>
      </c>
      <c r="IH64" s="34" t="e">
        <f>AND(#REF!,"AAAAAHbaZfE=")</f>
        <v>#REF!</v>
      </c>
      <c r="II64" s="34" t="e">
        <f>AND(#REF!,"AAAAAHbaZfI=")</f>
        <v>#REF!</v>
      </c>
      <c r="IJ64" s="34" t="e">
        <f>AND(#REF!,"AAAAAHbaZfM=")</f>
        <v>#REF!</v>
      </c>
      <c r="IK64" s="34" t="e">
        <f>AND(#REF!,"AAAAAHbaZfQ=")</f>
        <v>#REF!</v>
      </c>
      <c r="IL64" s="34" t="e">
        <f>AND(#REF!,"AAAAAHbaZfU=")</f>
        <v>#REF!</v>
      </c>
      <c r="IM64" s="34" t="e">
        <f>AND(#REF!,"AAAAAHbaZfY=")</f>
        <v>#REF!</v>
      </c>
      <c r="IN64" s="34" t="e">
        <f>AND(#REF!,"AAAAAHbaZfc=")</f>
        <v>#REF!</v>
      </c>
      <c r="IO64" s="34" t="e">
        <f>AND(#REF!,"AAAAAHbaZfg=")</f>
        <v>#REF!</v>
      </c>
      <c r="IP64" s="34" t="e">
        <f>IF(#REF!,"AAAAAHbaZfk=",0)</f>
        <v>#REF!</v>
      </c>
      <c r="IQ64" s="34" t="e">
        <f>AND(#REF!,"AAAAAHbaZfo=")</f>
        <v>#REF!</v>
      </c>
      <c r="IR64" s="34" t="e">
        <f>AND(#REF!,"AAAAAHbaZfs=")</f>
        <v>#REF!</v>
      </c>
      <c r="IS64" s="34" t="e">
        <f>AND(#REF!,"AAAAAHbaZfw=")</f>
        <v>#REF!</v>
      </c>
      <c r="IT64" s="34" t="e">
        <f>AND(#REF!,"AAAAAHbaZf0=")</f>
        <v>#REF!</v>
      </c>
      <c r="IU64" s="34" t="e">
        <f>AND(#REF!,"AAAAAHbaZf4=")</f>
        <v>#REF!</v>
      </c>
      <c r="IV64" s="34" t="e">
        <f>AND(#REF!,"AAAAAHbaZf8=")</f>
        <v>#REF!</v>
      </c>
    </row>
    <row r="65" spans="1:256" ht="12.75" customHeight="1" x14ac:dyDescent="0.2">
      <c r="A65" s="34" t="e">
        <f>AND(#REF!,"AAAAAHrffQA=")</f>
        <v>#REF!</v>
      </c>
      <c r="B65" s="34" t="e">
        <f>AND(#REF!,"AAAAAHrffQE=")</f>
        <v>#REF!</v>
      </c>
      <c r="C65" s="34" t="e">
        <f>AND(#REF!,"AAAAAHrffQI=")</f>
        <v>#REF!</v>
      </c>
      <c r="D65" s="34" t="e">
        <f>AND(#REF!,"AAAAAHrffQM=")</f>
        <v>#REF!</v>
      </c>
      <c r="E65" s="34" t="e">
        <f>AND(#REF!,"AAAAAHrffQQ=")</f>
        <v>#REF!</v>
      </c>
      <c r="F65" s="34" t="e">
        <f>AND(#REF!,"AAAAAHrffQU=")</f>
        <v>#REF!</v>
      </c>
      <c r="G65" s="34" t="e">
        <f>AND(#REF!,"AAAAAHrffQY=")</f>
        <v>#REF!</v>
      </c>
      <c r="H65" s="34" t="e">
        <f>AND(#REF!,"AAAAAHrffQc=")</f>
        <v>#REF!</v>
      </c>
      <c r="I65" s="34" t="e">
        <f>AND(#REF!,"AAAAAHrffQg=")</f>
        <v>#REF!</v>
      </c>
      <c r="J65" s="34" t="e">
        <f>AND(#REF!,"AAAAAHrffQk=")</f>
        <v>#REF!</v>
      </c>
      <c r="K65" s="34" t="e">
        <f>AND(#REF!,"AAAAAHrffQo=")</f>
        <v>#REF!</v>
      </c>
      <c r="L65" s="34" t="e">
        <f>AND(#REF!,"AAAAAHrffQs=")</f>
        <v>#REF!</v>
      </c>
      <c r="M65" s="34" t="e">
        <f>AND(#REF!,"AAAAAHrffQw=")</f>
        <v>#REF!</v>
      </c>
      <c r="N65" s="34" t="e">
        <f>AND(#REF!,"AAAAAHrffQ0=")</f>
        <v>#REF!</v>
      </c>
      <c r="O65" s="34" t="e">
        <f>AND(#REF!,"AAAAAHrffQ4=")</f>
        <v>#REF!</v>
      </c>
      <c r="P65" s="34" t="e">
        <f>AND(#REF!,"AAAAAHrffQ8=")</f>
        <v>#REF!</v>
      </c>
      <c r="Q65" s="34" t="e">
        <f>AND(#REF!,"AAAAAHrffRA=")</f>
        <v>#REF!</v>
      </c>
      <c r="R65" s="34" t="e">
        <f>AND(#REF!,"AAAAAHrffRE=")</f>
        <v>#REF!</v>
      </c>
      <c r="S65" s="34" t="e">
        <f>AND(#REF!,"AAAAAHrffRI=")</f>
        <v>#REF!</v>
      </c>
      <c r="T65" s="34" t="e">
        <f>AND(#REF!,"AAAAAHrffRM=")</f>
        <v>#REF!</v>
      </c>
      <c r="U65" s="34" t="e">
        <f>AND(#REF!,"AAAAAHrffRQ=")</f>
        <v>#REF!</v>
      </c>
      <c r="V65" s="34" t="e">
        <f>AND(#REF!,"AAAAAHrffRU=")</f>
        <v>#REF!</v>
      </c>
      <c r="W65" s="34" t="e">
        <f>AND(#REF!,"AAAAAHrffRY=")</f>
        <v>#REF!</v>
      </c>
      <c r="X65" s="34" t="e">
        <f>AND(#REF!,"AAAAAHrffRc=")</f>
        <v>#REF!</v>
      </c>
      <c r="Y65" s="34" t="e">
        <f>AND(#REF!,"AAAAAHrffRg=")</f>
        <v>#REF!</v>
      </c>
      <c r="Z65" s="34" t="e">
        <f>AND(#REF!,"AAAAAHrffRk=")</f>
        <v>#REF!</v>
      </c>
      <c r="AA65" s="34" t="e">
        <f>AND(#REF!,"AAAAAHrffRo=")</f>
        <v>#REF!</v>
      </c>
      <c r="AB65" s="34" t="e">
        <f>AND(#REF!,"AAAAAHrffRs=")</f>
        <v>#REF!</v>
      </c>
      <c r="AC65" s="34" t="e">
        <f>AND(#REF!,"AAAAAHrffRw=")</f>
        <v>#REF!</v>
      </c>
      <c r="AD65" s="34" t="e">
        <f>AND(#REF!,"AAAAAHrffR0=")</f>
        <v>#REF!</v>
      </c>
      <c r="AE65" s="34" t="e">
        <f>AND(#REF!,"AAAAAHrffR4=")</f>
        <v>#REF!</v>
      </c>
      <c r="AF65" s="34" t="e">
        <f>AND(#REF!,"AAAAAHrffR8=")</f>
        <v>#REF!</v>
      </c>
      <c r="AG65" s="34" t="e">
        <f>AND(#REF!,"AAAAAHrffSA=")</f>
        <v>#REF!</v>
      </c>
      <c r="AH65" s="34" t="e">
        <f>AND(#REF!,"AAAAAHrffSE=")</f>
        <v>#REF!</v>
      </c>
      <c r="AI65" s="34" t="e">
        <f>AND(#REF!,"AAAAAHrffSI=")</f>
        <v>#REF!</v>
      </c>
      <c r="AJ65" s="34" t="e">
        <f>AND(#REF!,"AAAAAHrffSM=")</f>
        <v>#REF!</v>
      </c>
      <c r="AK65" s="34" t="e">
        <f>AND(#REF!,"AAAAAHrffSQ=")</f>
        <v>#REF!</v>
      </c>
      <c r="AL65" s="34" t="e">
        <f>AND(#REF!,"AAAAAHrffSU=")</f>
        <v>#REF!</v>
      </c>
      <c r="AM65" s="34" t="e">
        <f>AND(#REF!,"AAAAAHrffSY=")</f>
        <v>#REF!</v>
      </c>
      <c r="AN65" s="34" t="e">
        <f>AND(#REF!,"AAAAAHrffSc=")</f>
        <v>#REF!</v>
      </c>
      <c r="AO65" s="34" t="e">
        <f>AND(#REF!,"AAAAAHrffSg=")</f>
        <v>#REF!</v>
      </c>
      <c r="AP65" s="34" t="e">
        <f>AND(#REF!,"AAAAAHrffSk=")</f>
        <v>#REF!</v>
      </c>
      <c r="AQ65" s="34" t="e">
        <f>AND(#REF!,"AAAAAHrffSo=")</f>
        <v>#REF!</v>
      </c>
      <c r="AR65" s="34" t="e">
        <f>AND(#REF!,"AAAAAHrffSs=")</f>
        <v>#REF!</v>
      </c>
      <c r="AS65" s="34" t="e">
        <f>AND(#REF!,"AAAAAHrffSw=")</f>
        <v>#REF!</v>
      </c>
      <c r="AT65" s="34" t="e">
        <f>AND(#REF!,"AAAAAHrffS0=")</f>
        <v>#REF!</v>
      </c>
      <c r="AU65" s="34" t="e">
        <f>AND(#REF!,"AAAAAHrffS4=")</f>
        <v>#REF!</v>
      </c>
      <c r="AV65" s="34" t="e">
        <f>AND(#REF!,"AAAAAHrffS8=")</f>
        <v>#REF!</v>
      </c>
      <c r="AW65" s="34" t="e">
        <f>AND(#REF!,"AAAAAHrffTA=")</f>
        <v>#REF!</v>
      </c>
      <c r="AX65" s="34" t="e">
        <f>AND(#REF!,"AAAAAHrffTE=")</f>
        <v>#REF!</v>
      </c>
      <c r="AY65" s="34" t="e">
        <f>AND(#REF!,"AAAAAHrffTI=")</f>
        <v>#REF!</v>
      </c>
      <c r="AZ65" s="34" t="e">
        <f>AND(#REF!,"AAAAAHrffTM=")</f>
        <v>#REF!</v>
      </c>
      <c r="BA65" s="34" t="e">
        <f>AND(#REF!,"AAAAAHrffTQ=")</f>
        <v>#REF!</v>
      </c>
      <c r="BB65" s="34" t="e">
        <f>AND(#REF!,"AAAAAHrffTU=")</f>
        <v>#REF!</v>
      </c>
      <c r="BC65" s="34" t="e">
        <f>AND(#REF!,"AAAAAHrffTY=")</f>
        <v>#REF!</v>
      </c>
      <c r="BD65" s="34" t="e">
        <f>AND(#REF!,"AAAAAHrffTc=")</f>
        <v>#REF!</v>
      </c>
      <c r="BE65" s="34" t="e">
        <f>AND(#REF!,"AAAAAHrffTg=")</f>
        <v>#REF!</v>
      </c>
      <c r="BF65" s="34" t="e">
        <f>AND(#REF!,"AAAAAHrffTk=")</f>
        <v>#REF!</v>
      </c>
      <c r="BG65" s="34" t="e">
        <f>AND(#REF!,"AAAAAHrffTo=")</f>
        <v>#REF!</v>
      </c>
      <c r="BH65" s="34" t="e">
        <f>AND(#REF!,"AAAAAHrffTs=")</f>
        <v>#REF!</v>
      </c>
      <c r="BI65" s="34" t="e">
        <f>AND(#REF!,"AAAAAHrffTw=")</f>
        <v>#REF!</v>
      </c>
      <c r="BJ65" s="34" t="e">
        <f>AND(#REF!,"AAAAAHrffT0=")</f>
        <v>#REF!</v>
      </c>
      <c r="BK65" s="34" t="e">
        <f>AND(#REF!,"AAAAAHrffT4=")</f>
        <v>#REF!</v>
      </c>
      <c r="BL65" s="34" t="e">
        <f>AND(#REF!,"AAAAAHrffT8=")</f>
        <v>#REF!</v>
      </c>
      <c r="BM65" s="34" t="e">
        <f>AND(#REF!,"AAAAAHrffUA=")</f>
        <v>#REF!</v>
      </c>
      <c r="BN65" s="34" t="e">
        <f>AND(#REF!,"AAAAAHrffUE=")</f>
        <v>#REF!</v>
      </c>
      <c r="BO65" s="34" t="e">
        <f>IF(#REF!,"AAAAAHrffUI=",0)</f>
        <v>#REF!</v>
      </c>
      <c r="BP65" s="34" t="e">
        <f>AND(#REF!,"AAAAAHrffUM=")</f>
        <v>#REF!</v>
      </c>
      <c r="BQ65" s="34" t="e">
        <f>AND(#REF!,"AAAAAHrffUQ=")</f>
        <v>#REF!</v>
      </c>
      <c r="BR65" s="34" t="e">
        <f>AND(#REF!,"AAAAAHrffUU=")</f>
        <v>#REF!</v>
      </c>
      <c r="BS65" s="34" t="e">
        <f>AND(#REF!,"AAAAAHrffUY=")</f>
        <v>#REF!</v>
      </c>
      <c r="BT65" s="34" t="e">
        <f>AND(#REF!,"AAAAAHrffUc=")</f>
        <v>#REF!</v>
      </c>
      <c r="BU65" s="34" t="e">
        <f>AND(#REF!,"AAAAAHrffUg=")</f>
        <v>#REF!</v>
      </c>
      <c r="BV65" s="34" t="e">
        <f>AND(#REF!,"AAAAAHrffUk=")</f>
        <v>#REF!</v>
      </c>
      <c r="BW65" s="34" t="e">
        <f>AND(#REF!,"AAAAAHrffUo=")</f>
        <v>#REF!</v>
      </c>
      <c r="BX65" s="34" t="e">
        <f>AND(#REF!,"AAAAAHrffUs=")</f>
        <v>#REF!</v>
      </c>
      <c r="BY65" s="34" t="e">
        <f>AND(#REF!,"AAAAAHrffUw=")</f>
        <v>#REF!</v>
      </c>
      <c r="BZ65" s="34" t="e">
        <f>AND(#REF!,"AAAAAHrffU0=")</f>
        <v>#REF!</v>
      </c>
      <c r="CA65" s="34" t="e">
        <f>AND(#REF!,"AAAAAHrffU4=")</f>
        <v>#REF!</v>
      </c>
      <c r="CB65" s="34" t="e">
        <f>AND(#REF!,"AAAAAHrffU8=")</f>
        <v>#REF!</v>
      </c>
      <c r="CC65" s="34" t="e">
        <f>AND(#REF!,"AAAAAHrffVA=")</f>
        <v>#REF!</v>
      </c>
      <c r="CD65" s="34" t="e">
        <f>AND(#REF!,"AAAAAHrffVE=")</f>
        <v>#REF!</v>
      </c>
      <c r="CE65" s="34" t="e">
        <f>AND(#REF!,"AAAAAHrffVI=")</f>
        <v>#REF!</v>
      </c>
      <c r="CF65" s="34" t="e">
        <f>AND(#REF!,"AAAAAHrffVM=")</f>
        <v>#REF!</v>
      </c>
      <c r="CG65" s="34" t="e">
        <f>AND(#REF!,"AAAAAHrffVQ=")</f>
        <v>#REF!</v>
      </c>
      <c r="CH65" s="34" t="e">
        <f>AND(#REF!,"AAAAAHrffVU=")</f>
        <v>#REF!</v>
      </c>
      <c r="CI65" s="34" t="e">
        <f>AND(#REF!,"AAAAAHrffVY=")</f>
        <v>#REF!</v>
      </c>
      <c r="CJ65" s="34" t="e">
        <f>AND(#REF!,"AAAAAHrffVc=")</f>
        <v>#REF!</v>
      </c>
      <c r="CK65" s="34" t="e">
        <f>AND(#REF!,"AAAAAHrffVg=")</f>
        <v>#REF!</v>
      </c>
      <c r="CL65" s="34" t="e">
        <f>AND(#REF!,"AAAAAHrffVk=")</f>
        <v>#REF!</v>
      </c>
      <c r="CM65" s="34" t="e">
        <f>AND(#REF!,"AAAAAHrffVo=")</f>
        <v>#REF!</v>
      </c>
      <c r="CN65" s="34" t="e">
        <f>AND(#REF!,"AAAAAHrffVs=")</f>
        <v>#REF!</v>
      </c>
      <c r="CO65" s="34" t="e">
        <f>AND(#REF!,"AAAAAHrffVw=")</f>
        <v>#REF!</v>
      </c>
      <c r="CP65" s="34" t="e">
        <f>AND(#REF!,"AAAAAHrffV0=")</f>
        <v>#REF!</v>
      </c>
      <c r="CQ65" s="34" t="e">
        <f>AND(#REF!,"AAAAAHrffV4=")</f>
        <v>#REF!</v>
      </c>
      <c r="CR65" s="34" t="e">
        <f>AND(#REF!,"AAAAAHrffV8=")</f>
        <v>#REF!</v>
      </c>
      <c r="CS65" s="34" t="e">
        <f>AND(#REF!,"AAAAAHrffWA=")</f>
        <v>#REF!</v>
      </c>
      <c r="CT65" s="34" t="e">
        <f>AND(#REF!,"AAAAAHrffWE=")</f>
        <v>#REF!</v>
      </c>
      <c r="CU65" s="34" t="e">
        <f>AND(#REF!,"AAAAAHrffWI=")</f>
        <v>#REF!</v>
      </c>
      <c r="CV65" s="34" t="e">
        <f>AND(#REF!,"AAAAAHrffWM=")</f>
        <v>#REF!</v>
      </c>
      <c r="CW65" s="34" t="e">
        <f>AND(#REF!,"AAAAAHrffWQ=")</f>
        <v>#REF!</v>
      </c>
      <c r="CX65" s="34" t="e">
        <f>AND(#REF!,"AAAAAHrffWU=")</f>
        <v>#REF!</v>
      </c>
      <c r="CY65" s="34" t="e">
        <f>AND(#REF!,"AAAAAHrffWY=")</f>
        <v>#REF!</v>
      </c>
      <c r="CZ65" s="34" t="e">
        <f>AND(#REF!,"AAAAAHrffWc=")</f>
        <v>#REF!</v>
      </c>
      <c r="DA65" s="34" t="e">
        <f>AND(#REF!,"AAAAAHrffWg=")</f>
        <v>#REF!</v>
      </c>
      <c r="DB65" s="34" t="e">
        <f>AND(#REF!,"AAAAAHrffWk=")</f>
        <v>#REF!</v>
      </c>
      <c r="DC65" s="34" t="e">
        <f>AND(#REF!,"AAAAAHrffWo=")</f>
        <v>#REF!</v>
      </c>
      <c r="DD65" s="34" t="e">
        <f>AND(#REF!,"AAAAAHrffWs=")</f>
        <v>#REF!</v>
      </c>
      <c r="DE65" s="34" t="e">
        <f>AND(#REF!,"AAAAAHrffWw=")</f>
        <v>#REF!</v>
      </c>
      <c r="DF65" s="34" t="e">
        <f>AND(#REF!,"AAAAAHrffW0=")</f>
        <v>#REF!</v>
      </c>
      <c r="DG65" s="34" t="e">
        <f>AND(#REF!,"AAAAAHrffW4=")</f>
        <v>#REF!</v>
      </c>
      <c r="DH65" s="34" t="e">
        <f>AND(#REF!,"AAAAAHrffW8=")</f>
        <v>#REF!</v>
      </c>
      <c r="DI65" s="34" t="e">
        <f>AND(#REF!,"AAAAAHrffXA=")</f>
        <v>#REF!</v>
      </c>
      <c r="DJ65" s="34" t="e">
        <f>AND(#REF!,"AAAAAHrffXE=")</f>
        <v>#REF!</v>
      </c>
      <c r="DK65" s="34" t="e">
        <f>AND(#REF!,"AAAAAHrffXI=")</f>
        <v>#REF!</v>
      </c>
      <c r="DL65" s="34" t="e">
        <f>AND(#REF!,"AAAAAHrffXM=")</f>
        <v>#REF!</v>
      </c>
      <c r="DM65" s="34" t="e">
        <f>AND(#REF!,"AAAAAHrffXQ=")</f>
        <v>#REF!</v>
      </c>
      <c r="DN65" s="34" t="e">
        <f>AND(#REF!,"AAAAAHrffXU=")</f>
        <v>#REF!</v>
      </c>
      <c r="DO65" s="34" t="e">
        <f>AND(#REF!,"AAAAAHrffXY=")</f>
        <v>#REF!</v>
      </c>
      <c r="DP65" s="34" t="e">
        <f>AND(#REF!,"AAAAAHrffXc=")</f>
        <v>#REF!</v>
      </c>
      <c r="DQ65" s="34" t="e">
        <f>AND(#REF!,"AAAAAHrffXg=")</f>
        <v>#REF!</v>
      </c>
      <c r="DR65" s="34" t="e">
        <f>AND(#REF!,"AAAAAHrffXk=")</f>
        <v>#REF!</v>
      </c>
      <c r="DS65" s="34" t="e">
        <f>AND(#REF!,"AAAAAHrffXo=")</f>
        <v>#REF!</v>
      </c>
      <c r="DT65" s="34" t="e">
        <f>AND(#REF!,"AAAAAHrffXs=")</f>
        <v>#REF!</v>
      </c>
      <c r="DU65" s="34" t="e">
        <f>AND(#REF!,"AAAAAHrffXw=")</f>
        <v>#REF!</v>
      </c>
      <c r="DV65" s="34" t="e">
        <f>AND(#REF!,"AAAAAHrffX0=")</f>
        <v>#REF!</v>
      </c>
      <c r="DW65" s="34" t="e">
        <f>AND(#REF!,"AAAAAHrffX4=")</f>
        <v>#REF!</v>
      </c>
      <c r="DX65" s="34" t="e">
        <f>AND(#REF!,"AAAAAHrffX8=")</f>
        <v>#REF!</v>
      </c>
      <c r="DY65" s="34" t="e">
        <f>AND(#REF!,"AAAAAHrffYA=")</f>
        <v>#REF!</v>
      </c>
      <c r="DZ65" s="34" t="e">
        <f>AND(#REF!,"AAAAAHrffYE=")</f>
        <v>#REF!</v>
      </c>
      <c r="EA65" s="34" t="e">
        <f>AND(#REF!,"AAAAAHrffYI=")</f>
        <v>#REF!</v>
      </c>
      <c r="EB65" s="34" t="e">
        <f>AND(#REF!,"AAAAAHrffYM=")</f>
        <v>#REF!</v>
      </c>
      <c r="EC65" s="34" t="e">
        <f>AND(#REF!,"AAAAAHrffYQ=")</f>
        <v>#REF!</v>
      </c>
      <c r="ED65" s="34" t="e">
        <f>AND(#REF!,"AAAAAHrffYU=")</f>
        <v>#REF!</v>
      </c>
      <c r="EE65" s="34" t="e">
        <f>AND(#REF!,"AAAAAHrffYY=")</f>
        <v>#REF!</v>
      </c>
      <c r="EF65" s="34" t="e">
        <f>AND(#REF!,"AAAAAHrffYc=")</f>
        <v>#REF!</v>
      </c>
      <c r="EG65" s="34" t="e">
        <f>AND(#REF!,"AAAAAHrffYg=")</f>
        <v>#REF!</v>
      </c>
      <c r="EH65" s="34" t="e">
        <f>AND(#REF!,"AAAAAHrffYk=")</f>
        <v>#REF!</v>
      </c>
      <c r="EI65" s="34" t="e">
        <f>AND(#REF!,"AAAAAHrffYo=")</f>
        <v>#REF!</v>
      </c>
      <c r="EJ65" s="34" t="e">
        <f>IF(#REF!,"AAAAAHrffYs=",0)</f>
        <v>#REF!</v>
      </c>
      <c r="EK65" s="34" t="e">
        <f>AND(#REF!,"AAAAAHrffYw=")</f>
        <v>#REF!</v>
      </c>
      <c r="EL65" s="34" t="e">
        <f>AND(#REF!,"AAAAAHrffY0=")</f>
        <v>#REF!</v>
      </c>
      <c r="EM65" s="34" t="e">
        <f>AND(#REF!,"AAAAAHrffY4=")</f>
        <v>#REF!</v>
      </c>
      <c r="EN65" s="34" t="e">
        <f>AND(#REF!,"AAAAAHrffY8=")</f>
        <v>#REF!</v>
      </c>
      <c r="EO65" s="34" t="e">
        <f>AND(#REF!,"AAAAAHrffZA=")</f>
        <v>#REF!</v>
      </c>
      <c r="EP65" s="34" t="e">
        <f>AND(#REF!,"AAAAAHrffZE=")</f>
        <v>#REF!</v>
      </c>
      <c r="EQ65" s="34" t="e">
        <f>AND(#REF!,"AAAAAHrffZI=")</f>
        <v>#REF!</v>
      </c>
      <c r="ER65" s="34" t="e">
        <f>AND(#REF!,"AAAAAHrffZM=")</f>
        <v>#REF!</v>
      </c>
      <c r="ES65" s="34" t="e">
        <f>AND(#REF!,"AAAAAHrffZQ=")</f>
        <v>#REF!</v>
      </c>
      <c r="ET65" s="34" t="e">
        <f>AND(#REF!,"AAAAAHrffZU=")</f>
        <v>#REF!</v>
      </c>
      <c r="EU65" s="34" t="e">
        <f>AND(#REF!,"AAAAAHrffZY=")</f>
        <v>#REF!</v>
      </c>
      <c r="EV65" s="34" t="e">
        <f>AND(#REF!,"AAAAAHrffZc=")</f>
        <v>#REF!</v>
      </c>
      <c r="EW65" s="34" t="e">
        <f>AND(#REF!,"AAAAAHrffZg=")</f>
        <v>#REF!</v>
      </c>
      <c r="EX65" s="34" t="e">
        <f>AND(#REF!,"AAAAAHrffZk=")</f>
        <v>#REF!</v>
      </c>
      <c r="EY65" s="34" t="e">
        <f>AND(#REF!,"AAAAAHrffZo=")</f>
        <v>#REF!</v>
      </c>
      <c r="EZ65" s="34" t="e">
        <f>AND(#REF!,"AAAAAHrffZs=")</f>
        <v>#REF!</v>
      </c>
      <c r="FA65" s="34" t="e">
        <f>AND(#REF!,"AAAAAHrffZw=")</f>
        <v>#REF!</v>
      </c>
      <c r="FB65" s="34" t="e">
        <f>AND(#REF!,"AAAAAHrffZ0=")</f>
        <v>#REF!</v>
      </c>
      <c r="FC65" s="34" t="e">
        <f>AND(#REF!,"AAAAAHrffZ4=")</f>
        <v>#REF!</v>
      </c>
      <c r="FD65" s="34" t="e">
        <f>AND(#REF!,"AAAAAHrffZ8=")</f>
        <v>#REF!</v>
      </c>
      <c r="FE65" s="34" t="e">
        <f>AND(#REF!,"AAAAAHrffaA=")</f>
        <v>#REF!</v>
      </c>
      <c r="FF65" s="34" t="e">
        <f>AND(#REF!,"AAAAAHrffaE=")</f>
        <v>#REF!</v>
      </c>
      <c r="FG65" s="34" t="e">
        <f>AND(#REF!,"AAAAAHrffaI=")</f>
        <v>#REF!</v>
      </c>
      <c r="FH65" s="34" t="e">
        <f>AND(#REF!,"AAAAAHrffaM=")</f>
        <v>#REF!</v>
      </c>
      <c r="FI65" s="34" t="e">
        <f>AND(#REF!,"AAAAAHrffaQ=")</f>
        <v>#REF!</v>
      </c>
      <c r="FJ65" s="34" t="e">
        <f>AND(#REF!,"AAAAAHrffaU=")</f>
        <v>#REF!</v>
      </c>
      <c r="FK65" s="34" t="e">
        <f>AND(#REF!,"AAAAAHrffaY=")</f>
        <v>#REF!</v>
      </c>
      <c r="FL65" s="34" t="e">
        <f>AND(#REF!,"AAAAAHrffac=")</f>
        <v>#REF!</v>
      </c>
      <c r="FM65" s="34" t="e">
        <f>AND(#REF!,"AAAAAHrffag=")</f>
        <v>#REF!</v>
      </c>
      <c r="FN65" s="34" t="e">
        <f>AND(#REF!,"AAAAAHrffak=")</f>
        <v>#REF!</v>
      </c>
      <c r="FO65" s="34" t="e">
        <f>AND(#REF!,"AAAAAHrffao=")</f>
        <v>#REF!</v>
      </c>
      <c r="FP65" s="34" t="e">
        <f>AND(#REF!,"AAAAAHrffas=")</f>
        <v>#REF!</v>
      </c>
      <c r="FQ65" s="34" t="e">
        <f>AND(#REF!,"AAAAAHrffaw=")</f>
        <v>#REF!</v>
      </c>
      <c r="FR65" s="34" t="e">
        <f>AND(#REF!,"AAAAAHrffa0=")</f>
        <v>#REF!</v>
      </c>
      <c r="FS65" s="34" t="e">
        <f>AND(#REF!,"AAAAAHrffa4=")</f>
        <v>#REF!</v>
      </c>
      <c r="FT65" s="34" t="e">
        <f>AND(#REF!,"AAAAAHrffa8=")</f>
        <v>#REF!</v>
      </c>
      <c r="FU65" s="34" t="e">
        <f>AND(#REF!,"AAAAAHrffbA=")</f>
        <v>#REF!</v>
      </c>
      <c r="FV65" s="34" t="e">
        <f>AND(#REF!,"AAAAAHrffbE=")</f>
        <v>#REF!</v>
      </c>
      <c r="FW65" s="34" t="e">
        <f>AND(#REF!,"AAAAAHrffbI=")</f>
        <v>#REF!</v>
      </c>
      <c r="FX65" s="34" t="e">
        <f>AND(#REF!,"AAAAAHrffbM=")</f>
        <v>#REF!</v>
      </c>
      <c r="FY65" s="34" t="e">
        <f>AND(#REF!,"AAAAAHrffbQ=")</f>
        <v>#REF!</v>
      </c>
      <c r="FZ65" s="34" t="e">
        <f>AND(#REF!,"AAAAAHrffbU=")</f>
        <v>#REF!</v>
      </c>
      <c r="GA65" s="34" t="e">
        <f>AND(#REF!,"AAAAAHrffbY=")</f>
        <v>#REF!</v>
      </c>
      <c r="GB65" s="34" t="e">
        <f>AND(#REF!,"AAAAAHrffbc=")</f>
        <v>#REF!</v>
      </c>
      <c r="GC65" s="34" t="e">
        <f>AND(#REF!,"AAAAAHrffbg=")</f>
        <v>#REF!</v>
      </c>
      <c r="GD65" s="34" t="e">
        <f>AND(#REF!,"AAAAAHrffbk=")</f>
        <v>#REF!</v>
      </c>
      <c r="GE65" s="34" t="e">
        <f>AND(#REF!,"AAAAAHrffbo=")</f>
        <v>#REF!</v>
      </c>
      <c r="GF65" s="34" t="e">
        <f>AND(#REF!,"AAAAAHrffbs=")</f>
        <v>#REF!</v>
      </c>
      <c r="GG65" s="34" t="e">
        <f>AND(#REF!,"AAAAAHrffbw=")</f>
        <v>#REF!</v>
      </c>
      <c r="GH65" s="34" t="e">
        <f>AND(#REF!,"AAAAAHrffb0=")</f>
        <v>#REF!</v>
      </c>
      <c r="GI65" s="34" t="e">
        <f>AND(#REF!,"AAAAAHrffb4=")</f>
        <v>#REF!</v>
      </c>
      <c r="GJ65" s="34" t="e">
        <f>AND(#REF!,"AAAAAHrffb8=")</f>
        <v>#REF!</v>
      </c>
      <c r="GK65" s="34" t="e">
        <f>AND(#REF!,"AAAAAHrffcA=")</f>
        <v>#REF!</v>
      </c>
      <c r="GL65" s="34" t="e">
        <f>AND(#REF!,"AAAAAHrffcE=")</f>
        <v>#REF!</v>
      </c>
      <c r="GM65" s="34" t="e">
        <f>AND(#REF!,"AAAAAHrffcI=")</f>
        <v>#REF!</v>
      </c>
      <c r="GN65" s="34" t="e">
        <f>AND(#REF!,"AAAAAHrffcM=")</f>
        <v>#REF!</v>
      </c>
      <c r="GO65" s="34" t="e">
        <f>AND(#REF!,"AAAAAHrffcQ=")</f>
        <v>#REF!</v>
      </c>
      <c r="GP65" s="34" t="e">
        <f>AND(#REF!,"AAAAAHrffcU=")</f>
        <v>#REF!</v>
      </c>
      <c r="GQ65" s="34" t="e">
        <f>AND(#REF!,"AAAAAHrffcY=")</f>
        <v>#REF!</v>
      </c>
      <c r="GR65" s="34" t="e">
        <f>AND(#REF!,"AAAAAHrffcc=")</f>
        <v>#REF!</v>
      </c>
      <c r="GS65" s="34" t="e">
        <f>AND(#REF!,"AAAAAHrffcg=")</f>
        <v>#REF!</v>
      </c>
      <c r="GT65" s="34" t="e">
        <f>AND(#REF!,"AAAAAHrffck=")</f>
        <v>#REF!</v>
      </c>
      <c r="GU65" s="34" t="e">
        <f>AND(#REF!,"AAAAAHrffco=")</f>
        <v>#REF!</v>
      </c>
      <c r="GV65" s="34" t="e">
        <f>AND(#REF!,"AAAAAHrffcs=")</f>
        <v>#REF!</v>
      </c>
      <c r="GW65" s="34" t="e">
        <f>AND(#REF!,"AAAAAHrffcw=")</f>
        <v>#REF!</v>
      </c>
      <c r="GX65" s="34" t="e">
        <f>AND(#REF!,"AAAAAHrffc0=")</f>
        <v>#REF!</v>
      </c>
      <c r="GY65" s="34" t="e">
        <f>AND(#REF!,"AAAAAHrffc4=")</f>
        <v>#REF!</v>
      </c>
      <c r="GZ65" s="34" t="e">
        <f>AND(#REF!,"AAAAAHrffc8=")</f>
        <v>#REF!</v>
      </c>
      <c r="HA65" s="34" t="e">
        <f>AND(#REF!,"AAAAAHrffdA=")</f>
        <v>#REF!</v>
      </c>
      <c r="HB65" s="34" t="e">
        <f>AND(#REF!,"AAAAAHrffdE=")</f>
        <v>#REF!</v>
      </c>
      <c r="HC65" s="34" t="e">
        <f>AND(#REF!,"AAAAAHrffdI=")</f>
        <v>#REF!</v>
      </c>
      <c r="HD65" s="34" t="e">
        <f>AND(#REF!,"AAAAAHrffdM=")</f>
        <v>#REF!</v>
      </c>
      <c r="HE65" s="34" t="e">
        <f>IF(#REF!,"AAAAAHrffdQ=",0)</f>
        <v>#REF!</v>
      </c>
      <c r="HF65" s="34" t="e">
        <f>AND(#REF!,"AAAAAHrffdU=")</f>
        <v>#REF!</v>
      </c>
      <c r="HG65" s="34" t="e">
        <f>AND(#REF!,"AAAAAHrffdY=")</f>
        <v>#REF!</v>
      </c>
      <c r="HH65" s="34" t="e">
        <f>AND(#REF!,"AAAAAHrffdc=")</f>
        <v>#REF!</v>
      </c>
      <c r="HI65" s="34" t="e">
        <f>AND(#REF!,"AAAAAHrffdg=")</f>
        <v>#REF!</v>
      </c>
      <c r="HJ65" s="34" t="e">
        <f>AND(#REF!,"AAAAAHrffdk=")</f>
        <v>#REF!</v>
      </c>
      <c r="HK65" s="34" t="e">
        <f>AND(#REF!,"AAAAAHrffdo=")</f>
        <v>#REF!</v>
      </c>
      <c r="HL65" s="34" t="e">
        <f>AND(#REF!,"AAAAAHrffds=")</f>
        <v>#REF!</v>
      </c>
      <c r="HM65" s="34" t="e">
        <f>AND(#REF!,"AAAAAHrffdw=")</f>
        <v>#REF!</v>
      </c>
      <c r="HN65" s="34" t="e">
        <f>AND(#REF!,"AAAAAHrffd0=")</f>
        <v>#REF!</v>
      </c>
      <c r="HO65" s="34" t="e">
        <f>AND(#REF!,"AAAAAHrffd4=")</f>
        <v>#REF!</v>
      </c>
      <c r="HP65" s="34" t="e">
        <f>AND(#REF!,"AAAAAHrffd8=")</f>
        <v>#REF!</v>
      </c>
      <c r="HQ65" s="34" t="e">
        <f>AND(#REF!,"AAAAAHrffeA=")</f>
        <v>#REF!</v>
      </c>
      <c r="HR65" s="34" t="e">
        <f>AND(#REF!,"AAAAAHrffeE=")</f>
        <v>#REF!</v>
      </c>
      <c r="HS65" s="34" t="e">
        <f>AND(#REF!,"AAAAAHrffeI=")</f>
        <v>#REF!</v>
      </c>
      <c r="HT65" s="34" t="e">
        <f>AND(#REF!,"AAAAAHrffeM=")</f>
        <v>#REF!</v>
      </c>
      <c r="HU65" s="34" t="e">
        <f>AND(#REF!,"AAAAAHrffeQ=")</f>
        <v>#REF!</v>
      </c>
      <c r="HV65" s="34" t="e">
        <f>AND(#REF!,"AAAAAHrffeU=")</f>
        <v>#REF!</v>
      </c>
      <c r="HW65" s="34" t="e">
        <f>AND(#REF!,"AAAAAHrffeY=")</f>
        <v>#REF!</v>
      </c>
      <c r="HX65" s="34" t="e">
        <f>AND(#REF!,"AAAAAHrffec=")</f>
        <v>#REF!</v>
      </c>
      <c r="HY65" s="34" t="e">
        <f>AND(#REF!,"AAAAAHrffeg=")</f>
        <v>#REF!</v>
      </c>
      <c r="HZ65" s="34" t="e">
        <f>AND(#REF!,"AAAAAHrffek=")</f>
        <v>#REF!</v>
      </c>
      <c r="IA65" s="34" t="e">
        <f>AND(#REF!,"AAAAAHrffeo=")</f>
        <v>#REF!</v>
      </c>
      <c r="IB65" s="34" t="e">
        <f>AND(#REF!,"AAAAAHrffes=")</f>
        <v>#REF!</v>
      </c>
      <c r="IC65" s="34" t="e">
        <f>AND(#REF!,"AAAAAHrffew=")</f>
        <v>#REF!</v>
      </c>
      <c r="ID65" s="34" t="e">
        <f>AND(#REF!,"AAAAAHrffe0=")</f>
        <v>#REF!</v>
      </c>
      <c r="IE65" s="34" t="e">
        <f>AND(#REF!,"AAAAAHrffe4=")</f>
        <v>#REF!</v>
      </c>
      <c r="IF65" s="34" t="e">
        <f>AND(#REF!,"AAAAAHrffe8=")</f>
        <v>#REF!</v>
      </c>
      <c r="IG65" s="34" t="e">
        <f>AND(#REF!,"AAAAAHrfffA=")</f>
        <v>#REF!</v>
      </c>
      <c r="IH65" s="34" t="e">
        <f>AND(#REF!,"AAAAAHrfffE=")</f>
        <v>#REF!</v>
      </c>
      <c r="II65" s="34" t="e">
        <f>AND(#REF!,"AAAAAHrfffI=")</f>
        <v>#REF!</v>
      </c>
      <c r="IJ65" s="34" t="e">
        <f>AND(#REF!,"AAAAAHrfffM=")</f>
        <v>#REF!</v>
      </c>
      <c r="IK65" s="34" t="e">
        <f>AND(#REF!,"AAAAAHrfffQ=")</f>
        <v>#REF!</v>
      </c>
      <c r="IL65" s="34" t="e">
        <f>AND(#REF!,"AAAAAHrfffU=")</f>
        <v>#REF!</v>
      </c>
      <c r="IM65" s="34" t="e">
        <f>AND(#REF!,"AAAAAHrfffY=")</f>
        <v>#REF!</v>
      </c>
      <c r="IN65" s="34" t="e">
        <f>AND(#REF!,"AAAAAHrfffc=")</f>
        <v>#REF!</v>
      </c>
      <c r="IO65" s="34" t="e">
        <f>AND(#REF!,"AAAAAHrfffg=")</f>
        <v>#REF!</v>
      </c>
      <c r="IP65" s="34" t="e">
        <f>AND(#REF!,"AAAAAHrfffk=")</f>
        <v>#REF!</v>
      </c>
      <c r="IQ65" s="34" t="e">
        <f>AND(#REF!,"AAAAAHrfffo=")</f>
        <v>#REF!</v>
      </c>
      <c r="IR65" s="34" t="e">
        <f>AND(#REF!,"AAAAAHrfffs=")</f>
        <v>#REF!</v>
      </c>
      <c r="IS65" s="34" t="e">
        <f>AND(#REF!,"AAAAAHrfffw=")</f>
        <v>#REF!</v>
      </c>
      <c r="IT65" s="34" t="e">
        <f>AND(#REF!,"AAAAAHrfff0=")</f>
        <v>#REF!</v>
      </c>
      <c r="IU65" s="34" t="e">
        <f>AND(#REF!,"AAAAAHrfff4=")</f>
        <v>#REF!</v>
      </c>
      <c r="IV65" s="34" t="e">
        <f>AND(#REF!,"AAAAAHrfff8=")</f>
        <v>#REF!</v>
      </c>
    </row>
    <row r="66" spans="1:256" ht="12.75" customHeight="1" x14ac:dyDescent="0.2">
      <c r="A66" s="34" t="e">
        <f>AND(#REF!,"AAAAAH/3jwA=")</f>
        <v>#REF!</v>
      </c>
      <c r="B66" s="34" t="e">
        <f>AND(#REF!,"AAAAAH/3jwE=")</f>
        <v>#REF!</v>
      </c>
      <c r="C66" s="34" t="e">
        <f>AND(#REF!,"AAAAAH/3jwI=")</f>
        <v>#REF!</v>
      </c>
      <c r="D66" s="34" t="e">
        <f>AND(#REF!,"AAAAAH/3jwM=")</f>
        <v>#REF!</v>
      </c>
      <c r="E66" s="34" t="e">
        <f>AND(#REF!,"AAAAAH/3jwQ=")</f>
        <v>#REF!</v>
      </c>
      <c r="F66" s="34" t="e">
        <f>AND(#REF!,"AAAAAH/3jwU=")</f>
        <v>#REF!</v>
      </c>
      <c r="G66" s="34" t="e">
        <f>AND(#REF!,"AAAAAH/3jwY=")</f>
        <v>#REF!</v>
      </c>
      <c r="H66" s="34" t="e">
        <f>AND(#REF!,"AAAAAH/3jwc=")</f>
        <v>#REF!</v>
      </c>
      <c r="I66" s="34" t="e">
        <f>AND(#REF!,"AAAAAH/3jwg=")</f>
        <v>#REF!</v>
      </c>
      <c r="J66" s="34" t="e">
        <f>AND(#REF!,"AAAAAH/3jwk=")</f>
        <v>#REF!</v>
      </c>
      <c r="K66" s="34" t="e">
        <f>AND(#REF!,"AAAAAH/3jwo=")</f>
        <v>#REF!</v>
      </c>
      <c r="L66" s="34" t="e">
        <f>AND(#REF!,"AAAAAH/3jws=")</f>
        <v>#REF!</v>
      </c>
      <c r="M66" s="34" t="e">
        <f>AND(#REF!,"AAAAAH/3jww=")</f>
        <v>#REF!</v>
      </c>
      <c r="N66" s="34" t="e">
        <f>AND(#REF!,"AAAAAH/3jw0=")</f>
        <v>#REF!</v>
      </c>
      <c r="O66" s="34" t="e">
        <f>AND(#REF!,"AAAAAH/3jw4=")</f>
        <v>#REF!</v>
      </c>
      <c r="P66" s="34" t="e">
        <f>AND(#REF!,"AAAAAH/3jw8=")</f>
        <v>#REF!</v>
      </c>
      <c r="Q66" s="34" t="e">
        <f>AND(#REF!,"AAAAAH/3jxA=")</f>
        <v>#REF!</v>
      </c>
      <c r="R66" s="34" t="e">
        <f>AND(#REF!,"AAAAAH/3jxE=")</f>
        <v>#REF!</v>
      </c>
      <c r="S66" s="34" t="e">
        <f>AND(#REF!,"AAAAAH/3jxI=")</f>
        <v>#REF!</v>
      </c>
      <c r="T66" s="34" t="e">
        <f>AND(#REF!,"AAAAAH/3jxM=")</f>
        <v>#REF!</v>
      </c>
      <c r="U66" s="34" t="e">
        <f>AND(#REF!,"AAAAAH/3jxQ=")</f>
        <v>#REF!</v>
      </c>
      <c r="V66" s="34" t="e">
        <f>AND(#REF!,"AAAAAH/3jxU=")</f>
        <v>#REF!</v>
      </c>
      <c r="W66" s="34" t="e">
        <f>AND(#REF!,"AAAAAH/3jxY=")</f>
        <v>#REF!</v>
      </c>
      <c r="X66" s="34" t="e">
        <f>AND(#REF!,"AAAAAH/3jxc=")</f>
        <v>#REF!</v>
      </c>
      <c r="Y66" s="34" t="e">
        <f>AND(#REF!,"AAAAAH/3jxg=")</f>
        <v>#REF!</v>
      </c>
      <c r="Z66" s="34" t="e">
        <f>AND(#REF!,"AAAAAH/3jxk=")</f>
        <v>#REF!</v>
      </c>
      <c r="AA66" s="34" t="e">
        <f>AND(#REF!,"AAAAAH/3jxo=")</f>
        <v>#REF!</v>
      </c>
      <c r="AB66" s="34" t="e">
        <f>AND(#REF!,"AAAAAH/3jxs=")</f>
        <v>#REF!</v>
      </c>
      <c r="AC66" s="34" t="e">
        <f>AND(#REF!,"AAAAAH/3jxw=")</f>
        <v>#REF!</v>
      </c>
      <c r="AD66" s="34" t="e">
        <f>IF(#REF!,"AAAAAH/3jx0=",0)</f>
        <v>#REF!</v>
      </c>
      <c r="AE66" s="34" t="e">
        <f>AND(#REF!,"AAAAAH/3jx4=")</f>
        <v>#REF!</v>
      </c>
      <c r="AF66" s="34" t="e">
        <f>AND(#REF!,"AAAAAH/3jx8=")</f>
        <v>#REF!</v>
      </c>
      <c r="AG66" s="34" t="e">
        <f>AND(#REF!,"AAAAAH/3jyA=")</f>
        <v>#REF!</v>
      </c>
      <c r="AH66" s="34" t="e">
        <f>AND(#REF!,"AAAAAH/3jyE=")</f>
        <v>#REF!</v>
      </c>
      <c r="AI66" s="34" t="e">
        <f>AND(#REF!,"AAAAAH/3jyI=")</f>
        <v>#REF!</v>
      </c>
      <c r="AJ66" s="34" t="e">
        <f>AND(#REF!,"AAAAAH/3jyM=")</f>
        <v>#REF!</v>
      </c>
      <c r="AK66" s="34" t="e">
        <f>AND(#REF!,"AAAAAH/3jyQ=")</f>
        <v>#REF!</v>
      </c>
      <c r="AL66" s="34" t="e">
        <f>AND(#REF!,"AAAAAH/3jyU=")</f>
        <v>#REF!</v>
      </c>
      <c r="AM66" s="34" t="e">
        <f>AND(#REF!,"AAAAAH/3jyY=")</f>
        <v>#REF!</v>
      </c>
      <c r="AN66" s="34" t="e">
        <f>AND(#REF!,"AAAAAH/3jyc=")</f>
        <v>#REF!</v>
      </c>
      <c r="AO66" s="34" t="e">
        <f>AND(#REF!,"AAAAAH/3jyg=")</f>
        <v>#REF!</v>
      </c>
      <c r="AP66" s="34" t="e">
        <f>AND(#REF!,"AAAAAH/3jyk=")</f>
        <v>#REF!</v>
      </c>
      <c r="AQ66" s="34" t="e">
        <f>AND(#REF!,"AAAAAH/3jyo=")</f>
        <v>#REF!</v>
      </c>
      <c r="AR66" s="34" t="e">
        <f>AND(#REF!,"AAAAAH/3jys=")</f>
        <v>#REF!</v>
      </c>
      <c r="AS66" s="34" t="e">
        <f>AND(#REF!,"AAAAAH/3jyw=")</f>
        <v>#REF!</v>
      </c>
      <c r="AT66" s="34" t="e">
        <f>AND(#REF!,"AAAAAH/3jy0=")</f>
        <v>#REF!</v>
      </c>
      <c r="AU66" s="34" t="e">
        <f>AND(#REF!,"AAAAAH/3jy4=")</f>
        <v>#REF!</v>
      </c>
      <c r="AV66" s="34" t="e">
        <f>AND(#REF!,"AAAAAH/3jy8=")</f>
        <v>#REF!</v>
      </c>
      <c r="AW66" s="34" t="e">
        <f>AND(#REF!,"AAAAAH/3jzA=")</f>
        <v>#REF!</v>
      </c>
      <c r="AX66" s="34" t="e">
        <f>AND(#REF!,"AAAAAH/3jzE=")</f>
        <v>#REF!</v>
      </c>
      <c r="AY66" s="34" t="e">
        <f>AND(#REF!,"AAAAAH/3jzI=")</f>
        <v>#REF!</v>
      </c>
      <c r="AZ66" s="34" t="e">
        <f>AND(#REF!,"AAAAAH/3jzM=")</f>
        <v>#REF!</v>
      </c>
      <c r="BA66" s="34" t="e">
        <f>AND(#REF!,"AAAAAH/3jzQ=")</f>
        <v>#REF!</v>
      </c>
      <c r="BB66" s="34" t="e">
        <f>AND(#REF!,"AAAAAH/3jzU=")</f>
        <v>#REF!</v>
      </c>
      <c r="BC66" s="34" t="e">
        <f>AND(#REF!,"AAAAAH/3jzY=")</f>
        <v>#REF!</v>
      </c>
      <c r="BD66" s="34" t="e">
        <f>AND(#REF!,"AAAAAH/3jzc=")</f>
        <v>#REF!</v>
      </c>
      <c r="BE66" s="34" t="e">
        <f>AND(#REF!,"AAAAAH/3jzg=")</f>
        <v>#REF!</v>
      </c>
      <c r="BF66" s="34" t="e">
        <f>AND(#REF!,"AAAAAH/3jzk=")</f>
        <v>#REF!</v>
      </c>
      <c r="BG66" s="34" t="e">
        <f>AND(#REF!,"AAAAAH/3jzo=")</f>
        <v>#REF!</v>
      </c>
      <c r="BH66" s="34" t="e">
        <f>AND(#REF!,"AAAAAH/3jzs=")</f>
        <v>#REF!</v>
      </c>
      <c r="BI66" s="34" t="e">
        <f>AND(#REF!,"AAAAAH/3jzw=")</f>
        <v>#REF!</v>
      </c>
      <c r="BJ66" s="34" t="e">
        <f>AND(#REF!,"AAAAAH/3jz0=")</f>
        <v>#REF!</v>
      </c>
      <c r="BK66" s="34" t="e">
        <f>AND(#REF!,"AAAAAH/3jz4=")</f>
        <v>#REF!</v>
      </c>
      <c r="BL66" s="34" t="e">
        <f>AND(#REF!,"AAAAAH/3jz8=")</f>
        <v>#REF!</v>
      </c>
      <c r="BM66" s="34" t="e">
        <f>AND(#REF!,"AAAAAH/3j0A=")</f>
        <v>#REF!</v>
      </c>
      <c r="BN66" s="34" t="e">
        <f>AND(#REF!,"AAAAAH/3j0E=")</f>
        <v>#REF!</v>
      </c>
      <c r="BO66" s="34" t="e">
        <f>AND(#REF!,"AAAAAH/3j0I=")</f>
        <v>#REF!</v>
      </c>
      <c r="BP66" s="34" t="e">
        <f>AND(#REF!,"AAAAAH/3j0M=")</f>
        <v>#REF!</v>
      </c>
      <c r="BQ66" s="34" t="e">
        <f>AND(#REF!,"AAAAAH/3j0Q=")</f>
        <v>#REF!</v>
      </c>
      <c r="BR66" s="34" t="e">
        <f>AND(#REF!,"AAAAAH/3j0U=")</f>
        <v>#REF!</v>
      </c>
      <c r="BS66" s="34" t="e">
        <f>AND(#REF!,"AAAAAH/3j0Y=")</f>
        <v>#REF!</v>
      </c>
      <c r="BT66" s="34" t="e">
        <f>AND(#REF!,"AAAAAH/3j0c=")</f>
        <v>#REF!</v>
      </c>
      <c r="BU66" s="34" t="e">
        <f>AND(#REF!,"AAAAAH/3j0g=")</f>
        <v>#REF!</v>
      </c>
      <c r="BV66" s="34" t="e">
        <f>AND(#REF!,"AAAAAH/3j0k=")</f>
        <v>#REF!</v>
      </c>
      <c r="BW66" s="34" t="e">
        <f>AND(#REF!,"AAAAAH/3j0o=")</f>
        <v>#REF!</v>
      </c>
      <c r="BX66" s="34" t="e">
        <f>AND(#REF!,"AAAAAH/3j0s=")</f>
        <v>#REF!</v>
      </c>
      <c r="BY66" s="34" t="e">
        <f>AND(#REF!,"AAAAAH/3j0w=")</f>
        <v>#REF!</v>
      </c>
      <c r="BZ66" s="34" t="e">
        <f>AND(#REF!,"AAAAAH/3j00=")</f>
        <v>#REF!</v>
      </c>
      <c r="CA66" s="34" t="e">
        <f>AND(#REF!,"AAAAAH/3j04=")</f>
        <v>#REF!</v>
      </c>
      <c r="CB66" s="34" t="e">
        <f>AND(#REF!,"AAAAAH/3j08=")</f>
        <v>#REF!</v>
      </c>
      <c r="CC66" s="34" t="e">
        <f>AND(#REF!,"AAAAAH/3j1A=")</f>
        <v>#REF!</v>
      </c>
      <c r="CD66" s="34" t="e">
        <f>AND(#REF!,"AAAAAH/3j1E=")</f>
        <v>#REF!</v>
      </c>
      <c r="CE66" s="34" t="e">
        <f>AND(#REF!,"AAAAAH/3j1I=")</f>
        <v>#REF!</v>
      </c>
      <c r="CF66" s="34" t="e">
        <f>AND(#REF!,"AAAAAH/3j1M=")</f>
        <v>#REF!</v>
      </c>
      <c r="CG66" s="34" t="e">
        <f>AND(#REF!,"AAAAAH/3j1Q=")</f>
        <v>#REF!</v>
      </c>
      <c r="CH66" s="34" t="e">
        <f>AND(#REF!,"AAAAAH/3j1U=")</f>
        <v>#REF!</v>
      </c>
      <c r="CI66" s="34" t="e">
        <f>AND(#REF!,"AAAAAH/3j1Y=")</f>
        <v>#REF!</v>
      </c>
      <c r="CJ66" s="34" t="e">
        <f>AND(#REF!,"AAAAAH/3j1c=")</f>
        <v>#REF!</v>
      </c>
      <c r="CK66" s="34" t="e">
        <f>AND(#REF!,"AAAAAH/3j1g=")</f>
        <v>#REF!</v>
      </c>
      <c r="CL66" s="34" t="e">
        <f>AND(#REF!,"AAAAAH/3j1k=")</f>
        <v>#REF!</v>
      </c>
      <c r="CM66" s="34" t="e">
        <f>AND(#REF!,"AAAAAH/3j1o=")</f>
        <v>#REF!</v>
      </c>
      <c r="CN66" s="34" t="e">
        <f>AND(#REF!,"AAAAAH/3j1s=")</f>
        <v>#REF!</v>
      </c>
      <c r="CO66" s="34" t="e">
        <f>AND(#REF!,"AAAAAH/3j1w=")</f>
        <v>#REF!</v>
      </c>
      <c r="CP66" s="34" t="e">
        <f>AND(#REF!,"AAAAAH/3j10=")</f>
        <v>#REF!</v>
      </c>
      <c r="CQ66" s="34" t="e">
        <f>AND(#REF!,"AAAAAH/3j14=")</f>
        <v>#REF!</v>
      </c>
      <c r="CR66" s="34" t="e">
        <f>AND(#REF!,"AAAAAH/3j18=")</f>
        <v>#REF!</v>
      </c>
      <c r="CS66" s="34" t="e">
        <f>AND(#REF!,"AAAAAH/3j2A=")</f>
        <v>#REF!</v>
      </c>
      <c r="CT66" s="34" t="e">
        <f>AND(#REF!,"AAAAAH/3j2E=")</f>
        <v>#REF!</v>
      </c>
      <c r="CU66" s="34" t="e">
        <f>AND(#REF!,"AAAAAH/3j2I=")</f>
        <v>#REF!</v>
      </c>
      <c r="CV66" s="34" t="e">
        <f>AND(#REF!,"AAAAAH/3j2M=")</f>
        <v>#REF!</v>
      </c>
      <c r="CW66" s="34" t="e">
        <f>AND(#REF!,"AAAAAH/3j2Q=")</f>
        <v>#REF!</v>
      </c>
      <c r="CX66" s="34" t="e">
        <f>AND(#REF!,"AAAAAH/3j2U=")</f>
        <v>#REF!</v>
      </c>
      <c r="CY66" s="34" t="e">
        <f>IF(#REF!,"AAAAAH/3j2Y=",0)</f>
        <v>#REF!</v>
      </c>
      <c r="CZ66" s="34" t="e">
        <f>AND(#REF!,"AAAAAH/3j2c=")</f>
        <v>#REF!</v>
      </c>
      <c r="DA66" s="34" t="e">
        <f>AND(#REF!,"AAAAAH/3j2g=")</f>
        <v>#REF!</v>
      </c>
      <c r="DB66" s="34" t="e">
        <f>AND(#REF!,"AAAAAH/3j2k=")</f>
        <v>#REF!</v>
      </c>
      <c r="DC66" s="34" t="e">
        <f>AND(#REF!,"AAAAAH/3j2o=")</f>
        <v>#REF!</v>
      </c>
      <c r="DD66" s="34" t="e">
        <f>AND(#REF!,"AAAAAH/3j2s=")</f>
        <v>#REF!</v>
      </c>
      <c r="DE66" s="34" t="e">
        <f>AND(#REF!,"AAAAAH/3j2w=")</f>
        <v>#REF!</v>
      </c>
      <c r="DF66" s="34" t="e">
        <f>AND(#REF!,"AAAAAH/3j20=")</f>
        <v>#REF!</v>
      </c>
      <c r="DG66" s="34" t="e">
        <f>AND(#REF!,"AAAAAH/3j24=")</f>
        <v>#REF!</v>
      </c>
      <c r="DH66" s="34" t="e">
        <f>AND(#REF!,"AAAAAH/3j28=")</f>
        <v>#REF!</v>
      </c>
      <c r="DI66" s="34" t="e">
        <f>AND(#REF!,"AAAAAH/3j3A=")</f>
        <v>#REF!</v>
      </c>
      <c r="DJ66" s="34" t="e">
        <f>AND(#REF!,"AAAAAH/3j3E=")</f>
        <v>#REF!</v>
      </c>
      <c r="DK66" s="34" t="e">
        <f>AND(#REF!,"AAAAAH/3j3I=")</f>
        <v>#REF!</v>
      </c>
      <c r="DL66" s="34" t="e">
        <f>AND(#REF!,"AAAAAH/3j3M=")</f>
        <v>#REF!</v>
      </c>
      <c r="DM66" s="34" t="e">
        <f>AND(#REF!,"AAAAAH/3j3Q=")</f>
        <v>#REF!</v>
      </c>
      <c r="DN66" s="34" t="e">
        <f>AND(#REF!,"AAAAAH/3j3U=")</f>
        <v>#REF!</v>
      </c>
      <c r="DO66" s="34" t="e">
        <f>AND(#REF!,"AAAAAH/3j3Y=")</f>
        <v>#REF!</v>
      </c>
      <c r="DP66" s="34" t="e">
        <f>AND(#REF!,"AAAAAH/3j3c=")</f>
        <v>#REF!</v>
      </c>
      <c r="DQ66" s="34" t="e">
        <f>AND(#REF!,"AAAAAH/3j3g=")</f>
        <v>#REF!</v>
      </c>
      <c r="DR66" s="34" t="e">
        <f>AND(#REF!,"AAAAAH/3j3k=")</f>
        <v>#REF!</v>
      </c>
      <c r="DS66" s="34" t="e">
        <f>AND(#REF!,"AAAAAH/3j3o=")</f>
        <v>#REF!</v>
      </c>
      <c r="DT66" s="34" t="e">
        <f>AND(#REF!,"AAAAAH/3j3s=")</f>
        <v>#REF!</v>
      </c>
      <c r="DU66" s="34" t="e">
        <f>AND(#REF!,"AAAAAH/3j3w=")</f>
        <v>#REF!</v>
      </c>
      <c r="DV66" s="34" t="e">
        <f>AND(#REF!,"AAAAAH/3j30=")</f>
        <v>#REF!</v>
      </c>
      <c r="DW66" s="34" t="e">
        <f>AND(#REF!,"AAAAAH/3j34=")</f>
        <v>#REF!</v>
      </c>
      <c r="DX66" s="34" t="e">
        <f>AND(#REF!,"AAAAAH/3j38=")</f>
        <v>#REF!</v>
      </c>
      <c r="DY66" s="34" t="e">
        <f>AND(#REF!,"AAAAAH/3j4A=")</f>
        <v>#REF!</v>
      </c>
      <c r="DZ66" s="34" t="e">
        <f>AND(#REF!,"AAAAAH/3j4E=")</f>
        <v>#REF!</v>
      </c>
      <c r="EA66" s="34" t="e">
        <f>AND(#REF!,"AAAAAH/3j4I=")</f>
        <v>#REF!</v>
      </c>
      <c r="EB66" s="34" t="e">
        <f>AND(#REF!,"AAAAAH/3j4M=")</f>
        <v>#REF!</v>
      </c>
      <c r="EC66" s="34" t="e">
        <f>AND(#REF!,"AAAAAH/3j4Q=")</f>
        <v>#REF!</v>
      </c>
      <c r="ED66" s="34" t="e">
        <f>AND(#REF!,"AAAAAH/3j4U=")</f>
        <v>#REF!</v>
      </c>
      <c r="EE66" s="34" t="e">
        <f>AND(#REF!,"AAAAAH/3j4Y=")</f>
        <v>#REF!</v>
      </c>
      <c r="EF66" s="34" t="e">
        <f>AND(#REF!,"AAAAAH/3j4c=")</f>
        <v>#REF!</v>
      </c>
      <c r="EG66" s="34" t="e">
        <f>AND(#REF!,"AAAAAH/3j4g=")</f>
        <v>#REF!</v>
      </c>
      <c r="EH66" s="34" t="e">
        <f>AND(#REF!,"AAAAAH/3j4k=")</f>
        <v>#REF!</v>
      </c>
      <c r="EI66" s="34" t="e">
        <f>AND(#REF!,"AAAAAH/3j4o=")</f>
        <v>#REF!</v>
      </c>
      <c r="EJ66" s="34" t="e">
        <f>AND(#REF!,"AAAAAH/3j4s=")</f>
        <v>#REF!</v>
      </c>
      <c r="EK66" s="34" t="e">
        <f>AND(#REF!,"AAAAAH/3j4w=")</f>
        <v>#REF!</v>
      </c>
      <c r="EL66" s="34" t="e">
        <f>AND(#REF!,"AAAAAH/3j40=")</f>
        <v>#REF!</v>
      </c>
      <c r="EM66" s="34" t="e">
        <f>AND(#REF!,"AAAAAH/3j44=")</f>
        <v>#REF!</v>
      </c>
      <c r="EN66" s="34" t="e">
        <f>AND(#REF!,"AAAAAH/3j48=")</f>
        <v>#REF!</v>
      </c>
      <c r="EO66" s="34" t="e">
        <f>AND(#REF!,"AAAAAH/3j5A=")</f>
        <v>#REF!</v>
      </c>
      <c r="EP66" s="34" t="e">
        <f>AND(#REF!,"AAAAAH/3j5E=")</f>
        <v>#REF!</v>
      </c>
      <c r="EQ66" s="34" t="e">
        <f>AND(#REF!,"AAAAAH/3j5I=")</f>
        <v>#REF!</v>
      </c>
      <c r="ER66" s="34" t="e">
        <f>AND(#REF!,"AAAAAH/3j5M=")</f>
        <v>#REF!</v>
      </c>
      <c r="ES66" s="34" t="e">
        <f>AND(#REF!,"AAAAAH/3j5Q=")</f>
        <v>#REF!</v>
      </c>
      <c r="ET66" s="34" t="e">
        <f>AND(#REF!,"AAAAAH/3j5U=")</f>
        <v>#REF!</v>
      </c>
      <c r="EU66" s="34" t="e">
        <f>AND(#REF!,"AAAAAH/3j5Y=")</f>
        <v>#REF!</v>
      </c>
      <c r="EV66" s="34" t="e">
        <f>AND(#REF!,"AAAAAH/3j5c=")</f>
        <v>#REF!</v>
      </c>
      <c r="EW66" s="34" t="e">
        <f>AND(#REF!,"AAAAAH/3j5g=")</f>
        <v>#REF!</v>
      </c>
      <c r="EX66" s="34" t="e">
        <f>AND(#REF!,"AAAAAH/3j5k=")</f>
        <v>#REF!</v>
      </c>
      <c r="EY66" s="34" t="e">
        <f>AND(#REF!,"AAAAAH/3j5o=")</f>
        <v>#REF!</v>
      </c>
      <c r="EZ66" s="34" t="e">
        <f>AND(#REF!,"AAAAAH/3j5s=")</f>
        <v>#REF!</v>
      </c>
      <c r="FA66" s="34" t="e">
        <f>AND(#REF!,"AAAAAH/3j5w=")</f>
        <v>#REF!</v>
      </c>
      <c r="FB66" s="34" t="e">
        <f>AND(#REF!,"AAAAAH/3j50=")</f>
        <v>#REF!</v>
      </c>
      <c r="FC66" s="34" t="e">
        <f>AND(#REF!,"AAAAAH/3j54=")</f>
        <v>#REF!</v>
      </c>
      <c r="FD66" s="34" t="e">
        <f>AND(#REF!,"AAAAAH/3j58=")</f>
        <v>#REF!</v>
      </c>
      <c r="FE66" s="34" t="e">
        <f>AND(#REF!,"AAAAAH/3j6A=")</f>
        <v>#REF!</v>
      </c>
      <c r="FF66" s="34" t="e">
        <f>AND(#REF!,"AAAAAH/3j6E=")</f>
        <v>#REF!</v>
      </c>
      <c r="FG66" s="34" t="e">
        <f>AND(#REF!,"AAAAAH/3j6I=")</f>
        <v>#REF!</v>
      </c>
      <c r="FH66" s="34" t="e">
        <f>AND(#REF!,"AAAAAH/3j6M=")</f>
        <v>#REF!</v>
      </c>
      <c r="FI66" s="34" t="e">
        <f>AND(#REF!,"AAAAAH/3j6Q=")</f>
        <v>#REF!</v>
      </c>
      <c r="FJ66" s="34" t="e">
        <f>AND(#REF!,"AAAAAH/3j6U=")</f>
        <v>#REF!</v>
      </c>
      <c r="FK66" s="34" t="e">
        <f>AND(#REF!,"AAAAAH/3j6Y=")</f>
        <v>#REF!</v>
      </c>
      <c r="FL66" s="34" t="e">
        <f>AND(#REF!,"AAAAAH/3j6c=")</f>
        <v>#REF!</v>
      </c>
      <c r="FM66" s="34" t="e">
        <f>AND(#REF!,"AAAAAH/3j6g=")</f>
        <v>#REF!</v>
      </c>
      <c r="FN66" s="34" t="e">
        <f>AND(#REF!,"AAAAAH/3j6k=")</f>
        <v>#REF!</v>
      </c>
      <c r="FO66" s="34" t="e">
        <f>AND(#REF!,"AAAAAH/3j6o=")</f>
        <v>#REF!</v>
      </c>
      <c r="FP66" s="34" t="e">
        <f>AND(#REF!,"AAAAAH/3j6s=")</f>
        <v>#REF!</v>
      </c>
      <c r="FQ66" s="34" t="e">
        <f>AND(#REF!,"AAAAAH/3j6w=")</f>
        <v>#REF!</v>
      </c>
      <c r="FR66" s="34" t="e">
        <f>AND(#REF!,"AAAAAH/3j60=")</f>
        <v>#REF!</v>
      </c>
      <c r="FS66" s="34" t="e">
        <f>AND(#REF!,"AAAAAH/3j64=")</f>
        <v>#REF!</v>
      </c>
      <c r="FT66" s="34" t="e">
        <f>IF(#REF!,"AAAAAH/3j68=",0)</f>
        <v>#REF!</v>
      </c>
      <c r="FU66" s="34" t="e">
        <f>AND(#REF!,"AAAAAH/3j7A=")</f>
        <v>#REF!</v>
      </c>
      <c r="FV66" s="34" t="e">
        <f>AND(#REF!,"AAAAAH/3j7E=")</f>
        <v>#REF!</v>
      </c>
      <c r="FW66" s="34" t="e">
        <f>AND(#REF!,"AAAAAH/3j7I=")</f>
        <v>#REF!</v>
      </c>
      <c r="FX66" s="34" t="e">
        <f>AND(#REF!,"AAAAAH/3j7M=")</f>
        <v>#REF!</v>
      </c>
      <c r="FY66" s="34" t="e">
        <f>AND(#REF!,"AAAAAH/3j7Q=")</f>
        <v>#REF!</v>
      </c>
      <c r="FZ66" s="34" t="e">
        <f>AND(#REF!,"AAAAAH/3j7U=")</f>
        <v>#REF!</v>
      </c>
      <c r="GA66" s="34" t="e">
        <f>AND(#REF!,"AAAAAH/3j7Y=")</f>
        <v>#REF!</v>
      </c>
      <c r="GB66" s="34" t="e">
        <f>AND(#REF!,"AAAAAH/3j7c=")</f>
        <v>#REF!</v>
      </c>
      <c r="GC66" s="34" t="e">
        <f>AND(#REF!,"AAAAAH/3j7g=")</f>
        <v>#REF!</v>
      </c>
      <c r="GD66" s="34" t="e">
        <f>AND(#REF!,"AAAAAH/3j7k=")</f>
        <v>#REF!</v>
      </c>
      <c r="GE66" s="34" t="e">
        <f>AND(#REF!,"AAAAAH/3j7o=")</f>
        <v>#REF!</v>
      </c>
      <c r="GF66" s="34" t="e">
        <f>AND(#REF!,"AAAAAH/3j7s=")</f>
        <v>#REF!</v>
      </c>
      <c r="GG66" s="34" t="e">
        <f>AND(#REF!,"AAAAAH/3j7w=")</f>
        <v>#REF!</v>
      </c>
      <c r="GH66" s="34" t="e">
        <f>AND(#REF!,"AAAAAH/3j70=")</f>
        <v>#REF!</v>
      </c>
      <c r="GI66" s="34" t="e">
        <f>AND(#REF!,"AAAAAH/3j74=")</f>
        <v>#REF!</v>
      </c>
      <c r="GJ66" s="34" t="e">
        <f>AND(#REF!,"AAAAAH/3j78=")</f>
        <v>#REF!</v>
      </c>
      <c r="GK66" s="34" t="e">
        <f>AND(#REF!,"AAAAAH/3j8A=")</f>
        <v>#REF!</v>
      </c>
      <c r="GL66" s="34" t="e">
        <f>AND(#REF!,"AAAAAH/3j8E=")</f>
        <v>#REF!</v>
      </c>
      <c r="GM66" s="34" t="e">
        <f>AND(#REF!,"AAAAAH/3j8I=")</f>
        <v>#REF!</v>
      </c>
      <c r="GN66" s="34" t="e">
        <f>AND(#REF!,"AAAAAH/3j8M=")</f>
        <v>#REF!</v>
      </c>
      <c r="GO66" s="34" t="e">
        <f>AND(#REF!,"AAAAAH/3j8Q=")</f>
        <v>#REF!</v>
      </c>
      <c r="GP66" s="34" t="e">
        <f>AND(#REF!,"AAAAAH/3j8U=")</f>
        <v>#REF!</v>
      </c>
      <c r="GQ66" s="34" t="e">
        <f>AND(#REF!,"AAAAAH/3j8Y=")</f>
        <v>#REF!</v>
      </c>
      <c r="GR66" s="34" t="e">
        <f>AND(#REF!,"AAAAAH/3j8c=")</f>
        <v>#REF!</v>
      </c>
      <c r="GS66" s="34" t="e">
        <f>AND(#REF!,"AAAAAH/3j8g=")</f>
        <v>#REF!</v>
      </c>
      <c r="GT66" s="34" t="e">
        <f>AND(#REF!,"AAAAAH/3j8k=")</f>
        <v>#REF!</v>
      </c>
      <c r="GU66" s="34" t="e">
        <f>AND(#REF!,"AAAAAH/3j8o=")</f>
        <v>#REF!</v>
      </c>
      <c r="GV66" s="34" t="e">
        <f>AND(#REF!,"AAAAAH/3j8s=")</f>
        <v>#REF!</v>
      </c>
      <c r="GW66" s="34" t="e">
        <f>AND(#REF!,"AAAAAH/3j8w=")</f>
        <v>#REF!</v>
      </c>
      <c r="GX66" s="34" t="e">
        <f>AND(#REF!,"AAAAAH/3j80=")</f>
        <v>#REF!</v>
      </c>
      <c r="GY66" s="34" t="e">
        <f>AND(#REF!,"AAAAAH/3j84=")</f>
        <v>#REF!</v>
      </c>
      <c r="GZ66" s="34" t="e">
        <f>AND(#REF!,"AAAAAH/3j88=")</f>
        <v>#REF!</v>
      </c>
      <c r="HA66" s="34" t="e">
        <f>AND(#REF!,"AAAAAH/3j9A=")</f>
        <v>#REF!</v>
      </c>
      <c r="HB66" s="34" t="e">
        <f>AND(#REF!,"AAAAAH/3j9E=")</f>
        <v>#REF!</v>
      </c>
      <c r="HC66" s="34" t="e">
        <f>AND(#REF!,"AAAAAH/3j9I=")</f>
        <v>#REF!</v>
      </c>
      <c r="HD66" s="34" t="e">
        <f>AND(#REF!,"AAAAAH/3j9M=")</f>
        <v>#REF!</v>
      </c>
      <c r="HE66" s="34" t="e">
        <f>AND(#REF!,"AAAAAH/3j9Q=")</f>
        <v>#REF!</v>
      </c>
      <c r="HF66" s="34" t="e">
        <f>AND(#REF!,"AAAAAH/3j9U=")</f>
        <v>#REF!</v>
      </c>
      <c r="HG66" s="34" t="e">
        <f>AND(#REF!,"AAAAAH/3j9Y=")</f>
        <v>#REF!</v>
      </c>
      <c r="HH66" s="34" t="e">
        <f>AND(#REF!,"AAAAAH/3j9c=")</f>
        <v>#REF!</v>
      </c>
      <c r="HI66" s="34" t="e">
        <f>AND(#REF!,"AAAAAH/3j9g=")</f>
        <v>#REF!</v>
      </c>
      <c r="HJ66" s="34" t="e">
        <f>AND(#REF!,"AAAAAH/3j9k=")</f>
        <v>#REF!</v>
      </c>
      <c r="HK66" s="34" t="e">
        <f>AND(#REF!,"AAAAAH/3j9o=")</f>
        <v>#REF!</v>
      </c>
      <c r="HL66" s="34" t="e">
        <f>AND(#REF!,"AAAAAH/3j9s=")</f>
        <v>#REF!</v>
      </c>
      <c r="HM66" s="34" t="e">
        <f>AND(#REF!,"AAAAAH/3j9w=")</f>
        <v>#REF!</v>
      </c>
      <c r="HN66" s="34" t="e">
        <f>AND(#REF!,"AAAAAH/3j90=")</f>
        <v>#REF!</v>
      </c>
      <c r="HO66" s="34" t="e">
        <f>AND(#REF!,"AAAAAH/3j94=")</f>
        <v>#REF!</v>
      </c>
      <c r="HP66" s="34" t="e">
        <f>AND(#REF!,"AAAAAH/3j98=")</f>
        <v>#REF!</v>
      </c>
      <c r="HQ66" s="34" t="e">
        <f>AND(#REF!,"AAAAAH/3j+A=")</f>
        <v>#REF!</v>
      </c>
      <c r="HR66" s="34" t="e">
        <f>AND(#REF!,"AAAAAH/3j+E=")</f>
        <v>#REF!</v>
      </c>
      <c r="HS66" s="34" t="e">
        <f>AND(#REF!,"AAAAAH/3j+I=")</f>
        <v>#REF!</v>
      </c>
      <c r="HT66" s="34" t="e">
        <f>AND(#REF!,"AAAAAH/3j+M=")</f>
        <v>#REF!</v>
      </c>
      <c r="HU66" s="34" t="e">
        <f>AND(#REF!,"AAAAAH/3j+Q=")</f>
        <v>#REF!</v>
      </c>
      <c r="HV66" s="34" t="e">
        <f>AND(#REF!,"AAAAAH/3j+U=")</f>
        <v>#REF!</v>
      </c>
      <c r="HW66" s="34" t="e">
        <f>AND(#REF!,"AAAAAH/3j+Y=")</f>
        <v>#REF!</v>
      </c>
      <c r="HX66" s="34" t="e">
        <f>AND(#REF!,"AAAAAH/3j+c=")</f>
        <v>#REF!</v>
      </c>
      <c r="HY66" s="34" t="e">
        <f>AND(#REF!,"AAAAAH/3j+g=")</f>
        <v>#REF!</v>
      </c>
      <c r="HZ66" s="34" t="e">
        <f>AND(#REF!,"AAAAAH/3j+k=")</f>
        <v>#REF!</v>
      </c>
      <c r="IA66" s="34" t="e">
        <f>AND(#REF!,"AAAAAH/3j+o=")</f>
        <v>#REF!</v>
      </c>
      <c r="IB66" s="34" t="e">
        <f>AND(#REF!,"AAAAAH/3j+s=")</f>
        <v>#REF!</v>
      </c>
      <c r="IC66" s="34" t="e">
        <f>AND(#REF!,"AAAAAH/3j+w=")</f>
        <v>#REF!</v>
      </c>
      <c r="ID66" s="34" t="e">
        <f>AND(#REF!,"AAAAAH/3j+0=")</f>
        <v>#REF!</v>
      </c>
      <c r="IE66" s="34" t="e">
        <f>AND(#REF!,"AAAAAH/3j+4=")</f>
        <v>#REF!</v>
      </c>
      <c r="IF66" s="34" t="e">
        <f>AND(#REF!,"AAAAAH/3j+8=")</f>
        <v>#REF!</v>
      </c>
      <c r="IG66" s="34" t="e">
        <f>AND(#REF!,"AAAAAH/3j/A=")</f>
        <v>#REF!</v>
      </c>
      <c r="IH66" s="34" t="e">
        <f>AND(#REF!,"AAAAAH/3j/E=")</f>
        <v>#REF!</v>
      </c>
      <c r="II66" s="34" t="e">
        <f>AND(#REF!,"AAAAAH/3j/I=")</f>
        <v>#REF!</v>
      </c>
      <c r="IJ66" s="34" t="e">
        <f>AND(#REF!,"AAAAAH/3j/M=")</f>
        <v>#REF!</v>
      </c>
      <c r="IK66" s="34" t="e">
        <f>AND(#REF!,"AAAAAH/3j/Q=")</f>
        <v>#REF!</v>
      </c>
      <c r="IL66" s="34" t="e">
        <f>AND(#REF!,"AAAAAH/3j/U=")</f>
        <v>#REF!</v>
      </c>
      <c r="IM66" s="34" t="e">
        <f>AND(#REF!,"AAAAAH/3j/Y=")</f>
        <v>#REF!</v>
      </c>
      <c r="IN66" s="34" t="e">
        <f>AND(#REF!,"AAAAAH/3j/c=")</f>
        <v>#REF!</v>
      </c>
      <c r="IO66" s="34" t="e">
        <f>IF(#REF!,"AAAAAH/3j/g=",0)</f>
        <v>#REF!</v>
      </c>
      <c r="IP66" s="34" t="e">
        <f>AND(#REF!,"AAAAAH/3j/k=")</f>
        <v>#REF!</v>
      </c>
      <c r="IQ66" s="34" t="e">
        <f>AND(#REF!,"AAAAAH/3j/o=")</f>
        <v>#REF!</v>
      </c>
      <c r="IR66" s="34" t="e">
        <f>AND(#REF!,"AAAAAH/3j/s=")</f>
        <v>#REF!</v>
      </c>
      <c r="IS66" s="34" t="e">
        <f>AND(#REF!,"AAAAAH/3j/w=")</f>
        <v>#REF!</v>
      </c>
      <c r="IT66" s="34" t="e">
        <f>AND(#REF!,"AAAAAH/3j/0=")</f>
        <v>#REF!</v>
      </c>
      <c r="IU66" s="34" t="e">
        <f>AND(#REF!,"AAAAAH/3j/4=")</f>
        <v>#REF!</v>
      </c>
      <c r="IV66" s="34" t="e">
        <f>AND(#REF!,"AAAAAH/3j/8=")</f>
        <v>#REF!</v>
      </c>
    </row>
    <row r="67" spans="1:256" ht="12.75" customHeight="1" x14ac:dyDescent="0.2">
      <c r="A67" s="34" t="e">
        <f>AND(#REF!,"AAAAAH96twA=")</f>
        <v>#REF!</v>
      </c>
      <c r="B67" s="34" t="e">
        <f>AND(#REF!,"AAAAAH96twE=")</f>
        <v>#REF!</v>
      </c>
      <c r="C67" s="34" t="e">
        <f>AND(#REF!,"AAAAAH96twI=")</f>
        <v>#REF!</v>
      </c>
      <c r="D67" s="34" t="e">
        <f>AND(#REF!,"AAAAAH96twM=")</f>
        <v>#REF!</v>
      </c>
      <c r="E67" s="34" t="e">
        <f>AND(#REF!,"AAAAAH96twQ=")</f>
        <v>#REF!</v>
      </c>
      <c r="F67" s="34" t="e">
        <f>AND(#REF!,"AAAAAH96twU=")</f>
        <v>#REF!</v>
      </c>
      <c r="G67" s="34" t="e">
        <f>AND(#REF!,"AAAAAH96twY=")</f>
        <v>#REF!</v>
      </c>
      <c r="H67" s="34" t="e">
        <f>AND(#REF!,"AAAAAH96twc=")</f>
        <v>#REF!</v>
      </c>
      <c r="I67" s="34" t="e">
        <f>AND(#REF!,"AAAAAH96twg=")</f>
        <v>#REF!</v>
      </c>
      <c r="J67" s="34" t="e">
        <f>AND(#REF!,"AAAAAH96twk=")</f>
        <v>#REF!</v>
      </c>
      <c r="K67" s="34" t="e">
        <f>AND(#REF!,"AAAAAH96two=")</f>
        <v>#REF!</v>
      </c>
      <c r="L67" s="34" t="e">
        <f>AND(#REF!,"AAAAAH96tws=")</f>
        <v>#REF!</v>
      </c>
      <c r="M67" s="34" t="e">
        <f>AND(#REF!,"AAAAAH96tww=")</f>
        <v>#REF!</v>
      </c>
      <c r="N67" s="34" t="e">
        <f>AND(#REF!,"AAAAAH96tw0=")</f>
        <v>#REF!</v>
      </c>
      <c r="O67" s="34" t="e">
        <f>AND(#REF!,"AAAAAH96tw4=")</f>
        <v>#REF!</v>
      </c>
      <c r="P67" s="34" t="e">
        <f>AND(#REF!,"AAAAAH96tw8=")</f>
        <v>#REF!</v>
      </c>
      <c r="Q67" s="34" t="e">
        <f>AND(#REF!,"AAAAAH96txA=")</f>
        <v>#REF!</v>
      </c>
      <c r="R67" s="34" t="e">
        <f>AND(#REF!,"AAAAAH96txE=")</f>
        <v>#REF!</v>
      </c>
      <c r="S67" s="34" t="e">
        <f>AND(#REF!,"AAAAAH96txI=")</f>
        <v>#REF!</v>
      </c>
      <c r="T67" s="34" t="e">
        <f>AND(#REF!,"AAAAAH96txM=")</f>
        <v>#REF!</v>
      </c>
      <c r="U67" s="34" t="e">
        <f>AND(#REF!,"AAAAAH96txQ=")</f>
        <v>#REF!</v>
      </c>
      <c r="V67" s="34" t="e">
        <f>AND(#REF!,"AAAAAH96txU=")</f>
        <v>#REF!</v>
      </c>
      <c r="W67" s="34" t="e">
        <f>AND(#REF!,"AAAAAH96txY=")</f>
        <v>#REF!</v>
      </c>
      <c r="X67" s="34" t="e">
        <f>AND(#REF!,"AAAAAH96txc=")</f>
        <v>#REF!</v>
      </c>
      <c r="Y67" s="34" t="e">
        <f>AND(#REF!,"AAAAAH96txg=")</f>
        <v>#REF!</v>
      </c>
      <c r="Z67" s="34" t="e">
        <f>AND(#REF!,"AAAAAH96txk=")</f>
        <v>#REF!</v>
      </c>
      <c r="AA67" s="34" t="e">
        <f>AND(#REF!,"AAAAAH96txo=")</f>
        <v>#REF!</v>
      </c>
      <c r="AB67" s="34" t="e">
        <f>AND(#REF!,"AAAAAH96txs=")</f>
        <v>#REF!</v>
      </c>
      <c r="AC67" s="34" t="e">
        <f>AND(#REF!,"AAAAAH96txw=")</f>
        <v>#REF!</v>
      </c>
      <c r="AD67" s="34" t="e">
        <f>AND(#REF!,"AAAAAH96tx0=")</f>
        <v>#REF!</v>
      </c>
      <c r="AE67" s="34" t="e">
        <f>AND(#REF!,"AAAAAH96tx4=")</f>
        <v>#REF!</v>
      </c>
      <c r="AF67" s="34" t="e">
        <f>AND(#REF!,"AAAAAH96tx8=")</f>
        <v>#REF!</v>
      </c>
      <c r="AG67" s="34" t="e">
        <f>AND(#REF!,"AAAAAH96tyA=")</f>
        <v>#REF!</v>
      </c>
      <c r="AH67" s="34" t="e">
        <f>AND(#REF!,"AAAAAH96tyE=")</f>
        <v>#REF!</v>
      </c>
      <c r="AI67" s="34" t="e">
        <f>AND(#REF!,"AAAAAH96tyI=")</f>
        <v>#REF!</v>
      </c>
      <c r="AJ67" s="34" t="e">
        <f>AND(#REF!,"AAAAAH96tyM=")</f>
        <v>#REF!</v>
      </c>
      <c r="AK67" s="34" t="e">
        <f>AND(#REF!,"AAAAAH96tyQ=")</f>
        <v>#REF!</v>
      </c>
      <c r="AL67" s="34" t="e">
        <f>AND(#REF!,"AAAAAH96tyU=")</f>
        <v>#REF!</v>
      </c>
      <c r="AM67" s="34" t="e">
        <f>AND(#REF!,"AAAAAH96tyY=")</f>
        <v>#REF!</v>
      </c>
      <c r="AN67" s="34" t="e">
        <f>AND(#REF!,"AAAAAH96tyc=")</f>
        <v>#REF!</v>
      </c>
      <c r="AO67" s="34" t="e">
        <f>AND(#REF!,"AAAAAH96tyg=")</f>
        <v>#REF!</v>
      </c>
      <c r="AP67" s="34" t="e">
        <f>AND(#REF!,"AAAAAH96tyk=")</f>
        <v>#REF!</v>
      </c>
      <c r="AQ67" s="34" t="e">
        <f>AND(#REF!,"AAAAAH96tyo=")</f>
        <v>#REF!</v>
      </c>
      <c r="AR67" s="34" t="e">
        <f>AND(#REF!,"AAAAAH96tys=")</f>
        <v>#REF!</v>
      </c>
      <c r="AS67" s="34" t="e">
        <f>AND(#REF!,"AAAAAH96tyw=")</f>
        <v>#REF!</v>
      </c>
      <c r="AT67" s="34" t="e">
        <f>AND(#REF!,"AAAAAH96ty0=")</f>
        <v>#REF!</v>
      </c>
      <c r="AU67" s="34" t="e">
        <f>AND(#REF!,"AAAAAH96ty4=")</f>
        <v>#REF!</v>
      </c>
      <c r="AV67" s="34" t="e">
        <f>AND(#REF!,"AAAAAH96ty8=")</f>
        <v>#REF!</v>
      </c>
      <c r="AW67" s="34" t="e">
        <f>AND(#REF!,"AAAAAH96tzA=")</f>
        <v>#REF!</v>
      </c>
      <c r="AX67" s="34" t="e">
        <f>AND(#REF!,"AAAAAH96tzE=")</f>
        <v>#REF!</v>
      </c>
      <c r="AY67" s="34" t="e">
        <f>AND(#REF!,"AAAAAH96tzI=")</f>
        <v>#REF!</v>
      </c>
      <c r="AZ67" s="34" t="e">
        <f>AND(#REF!,"AAAAAH96tzM=")</f>
        <v>#REF!</v>
      </c>
      <c r="BA67" s="34" t="e">
        <f>AND(#REF!,"AAAAAH96tzQ=")</f>
        <v>#REF!</v>
      </c>
      <c r="BB67" s="34" t="e">
        <f>AND(#REF!,"AAAAAH96tzU=")</f>
        <v>#REF!</v>
      </c>
      <c r="BC67" s="34" t="e">
        <f>AND(#REF!,"AAAAAH96tzY=")</f>
        <v>#REF!</v>
      </c>
      <c r="BD67" s="34" t="e">
        <f>AND(#REF!,"AAAAAH96tzc=")</f>
        <v>#REF!</v>
      </c>
      <c r="BE67" s="34" t="e">
        <f>AND(#REF!,"AAAAAH96tzg=")</f>
        <v>#REF!</v>
      </c>
      <c r="BF67" s="34" t="e">
        <f>AND(#REF!,"AAAAAH96tzk=")</f>
        <v>#REF!</v>
      </c>
      <c r="BG67" s="34" t="e">
        <f>AND(#REF!,"AAAAAH96tzo=")</f>
        <v>#REF!</v>
      </c>
      <c r="BH67" s="34" t="e">
        <f>AND(#REF!,"AAAAAH96tzs=")</f>
        <v>#REF!</v>
      </c>
      <c r="BI67" s="34" t="e">
        <f>AND(#REF!,"AAAAAH96tzw=")</f>
        <v>#REF!</v>
      </c>
      <c r="BJ67" s="34" t="e">
        <f>AND(#REF!,"AAAAAH96tz0=")</f>
        <v>#REF!</v>
      </c>
      <c r="BK67" s="34" t="e">
        <f>AND(#REF!,"AAAAAH96tz4=")</f>
        <v>#REF!</v>
      </c>
      <c r="BL67" s="34" t="e">
        <f>AND(#REF!,"AAAAAH96tz8=")</f>
        <v>#REF!</v>
      </c>
      <c r="BM67" s="34" t="e">
        <f>AND(#REF!,"AAAAAH96t0A=")</f>
        <v>#REF!</v>
      </c>
      <c r="BN67" s="34" t="e">
        <f>IF(#REF!,"AAAAAH96t0E=",0)</f>
        <v>#REF!</v>
      </c>
      <c r="BO67" s="34" t="e">
        <f>AND(#REF!,"AAAAAH96t0I=")</f>
        <v>#REF!</v>
      </c>
      <c r="BP67" s="34" t="e">
        <f>AND(#REF!,"AAAAAH96t0M=")</f>
        <v>#REF!</v>
      </c>
      <c r="BQ67" s="34" t="e">
        <f>AND(#REF!,"AAAAAH96t0Q=")</f>
        <v>#REF!</v>
      </c>
      <c r="BR67" s="34" t="e">
        <f>AND(#REF!,"AAAAAH96t0U=")</f>
        <v>#REF!</v>
      </c>
      <c r="BS67" s="34" t="e">
        <f>AND(#REF!,"AAAAAH96t0Y=")</f>
        <v>#REF!</v>
      </c>
      <c r="BT67" s="34" t="e">
        <f>AND(#REF!,"AAAAAH96t0c=")</f>
        <v>#REF!</v>
      </c>
      <c r="BU67" s="34" t="e">
        <f>AND(#REF!,"AAAAAH96t0g=")</f>
        <v>#REF!</v>
      </c>
      <c r="BV67" s="34" t="e">
        <f>AND(#REF!,"AAAAAH96t0k=")</f>
        <v>#REF!</v>
      </c>
      <c r="BW67" s="34" t="e">
        <f>AND(#REF!,"AAAAAH96t0o=")</f>
        <v>#REF!</v>
      </c>
      <c r="BX67" s="34" t="e">
        <f>AND(#REF!,"AAAAAH96t0s=")</f>
        <v>#REF!</v>
      </c>
      <c r="BY67" s="34" t="e">
        <f>AND(#REF!,"AAAAAH96t0w=")</f>
        <v>#REF!</v>
      </c>
      <c r="BZ67" s="34" t="e">
        <f>AND(#REF!,"AAAAAH96t00=")</f>
        <v>#REF!</v>
      </c>
      <c r="CA67" s="34" t="e">
        <f>AND(#REF!,"AAAAAH96t04=")</f>
        <v>#REF!</v>
      </c>
      <c r="CB67" s="34" t="e">
        <f>AND(#REF!,"AAAAAH96t08=")</f>
        <v>#REF!</v>
      </c>
      <c r="CC67" s="34" t="e">
        <f>AND(#REF!,"AAAAAH96t1A=")</f>
        <v>#REF!</v>
      </c>
      <c r="CD67" s="34" t="e">
        <f>AND(#REF!,"AAAAAH96t1E=")</f>
        <v>#REF!</v>
      </c>
      <c r="CE67" s="34" t="e">
        <f>AND(#REF!,"AAAAAH96t1I=")</f>
        <v>#REF!</v>
      </c>
      <c r="CF67" s="34" t="e">
        <f>AND(#REF!,"AAAAAH96t1M=")</f>
        <v>#REF!</v>
      </c>
      <c r="CG67" s="34" t="e">
        <f>AND(#REF!,"AAAAAH96t1Q=")</f>
        <v>#REF!</v>
      </c>
      <c r="CH67" s="34" t="e">
        <f>AND(#REF!,"AAAAAH96t1U=")</f>
        <v>#REF!</v>
      </c>
      <c r="CI67" s="34" t="e">
        <f>AND(#REF!,"AAAAAH96t1Y=")</f>
        <v>#REF!</v>
      </c>
      <c r="CJ67" s="34" t="e">
        <f>AND(#REF!,"AAAAAH96t1c=")</f>
        <v>#REF!</v>
      </c>
      <c r="CK67" s="34" t="e">
        <f>AND(#REF!,"AAAAAH96t1g=")</f>
        <v>#REF!</v>
      </c>
      <c r="CL67" s="34" t="e">
        <f>AND(#REF!,"AAAAAH96t1k=")</f>
        <v>#REF!</v>
      </c>
      <c r="CM67" s="34" t="e">
        <f>AND(#REF!,"AAAAAH96t1o=")</f>
        <v>#REF!</v>
      </c>
      <c r="CN67" s="34" t="e">
        <f>AND(#REF!,"AAAAAH96t1s=")</f>
        <v>#REF!</v>
      </c>
      <c r="CO67" s="34" t="e">
        <f>AND(#REF!,"AAAAAH96t1w=")</f>
        <v>#REF!</v>
      </c>
      <c r="CP67" s="34" t="e">
        <f>AND(#REF!,"AAAAAH96t10=")</f>
        <v>#REF!</v>
      </c>
      <c r="CQ67" s="34" t="e">
        <f>AND(#REF!,"AAAAAH96t14=")</f>
        <v>#REF!</v>
      </c>
      <c r="CR67" s="34" t="e">
        <f>AND(#REF!,"AAAAAH96t18=")</f>
        <v>#REF!</v>
      </c>
      <c r="CS67" s="34" t="e">
        <f>AND(#REF!,"AAAAAH96t2A=")</f>
        <v>#REF!</v>
      </c>
      <c r="CT67" s="34" t="e">
        <f>AND(#REF!,"AAAAAH96t2E=")</f>
        <v>#REF!</v>
      </c>
      <c r="CU67" s="34" t="e">
        <f>AND(#REF!,"AAAAAH96t2I=")</f>
        <v>#REF!</v>
      </c>
      <c r="CV67" s="34" t="e">
        <f>AND(#REF!,"AAAAAH96t2M=")</f>
        <v>#REF!</v>
      </c>
      <c r="CW67" s="34" t="e">
        <f>AND(#REF!,"AAAAAH96t2Q=")</f>
        <v>#REF!</v>
      </c>
      <c r="CX67" s="34" t="e">
        <f>AND(#REF!,"AAAAAH96t2U=")</f>
        <v>#REF!</v>
      </c>
      <c r="CY67" s="34" t="e">
        <f>AND(#REF!,"AAAAAH96t2Y=")</f>
        <v>#REF!</v>
      </c>
      <c r="CZ67" s="34" t="e">
        <f>AND(#REF!,"AAAAAH96t2c=")</f>
        <v>#REF!</v>
      </c>
      <c r="DA67" s="34" t="e">
        <f>AND(#REF!,"AAAAAH96t2g=")</f>
        <v>#REF!</v>
      </c>
      <c r="DB67" s="34" t="e">
        <f>AND(#REF!,"AAAAAH96t2k=")</f>
        <v>#REF!</v>
      </c>
      <c r="DC67" s="34" t="e">
        <f>AND(#REF!,"AAAAAH96t2o=")</f>
        <v>#REF!</v>
      </c>
      <c r="DD67" s="34" t="e">
        <f>AND(#REF!,"AAAAAH96t2s=")</f>
        <v>#REF!</v>
      </c>
      <c r="DE67" s="34" t="e">
        <f>AND(#REF!,"AAAAAH96t2w=")</f>
        <v>#REF!</v>
      </c>
      <c r="DF67" s="34" t="e">
        <f>AND(#REF!,"AAAAAH96t20=")</f>
        <v>#REF!</v>
      </c>
      <c r="DG67" s="34" t="e">
        <f>AND(#REF!,"AAAAAH96t24=")</f>
        <v>#REF!</v>
      </c>
      <c r="DH67" s="34" t="e">
        <f>AND(#REF!,"AAAAAH96t28=")</f>
        <v>#REF!</v>
      </c>
      <c r="DI67" s="34" t="e">
        <f>AND(#REF!,"AAAAAH96t3A=")</f>
        <v>#REF!</v>
      </c>
      <c r="DJ67" s="34" t="e">
        <f>AND(#REF!,"AAAAAH96t3E=")</f>
        <v>#REF!</v>
      </c>
      <c r="DK67" s="34" t="e">
        <f>AND(#REF!,"AAAAAH96t3I=")</f>
        <v>#REF!</v>
      </c>
      <c r="DL67" s="34" t="e">
        <f>AND(#REF!,"AAAAAH96t3M=")</f>
        <v>#REF!</v>
      </c>
      <c r="DM67" s="34" t="e">
        <f>AND(#REF!,"AAAAAH96t3Q=")</f>
        <v>#REF!</v>
      </c>
      <c r="DN67" s="34" t="e">
        <f>AND(#REF!,"AAAAAH96t3U=")</f>
        <v>#REF!</v>
      </c>
      <c r="DO67" s="34" t="e">
        <f>AND(#REF!,"AAAAAH96t3Y=")</f>
        <v>#REF!</v>
      </c>
      <c r="DP67" s="34" t="e">
        <f>AND(#REF!,"AAAAAH96t3c=")</f>
        <v>#REF!</v>
      </c>
      <c r="DQ67" s="34" t="e">
        <f>AND(#REF!,"AAAAAH96t3g=")</f>
        <v>#REF!</v>
      </c>
      <c r="DR67" s="34" t="e">
        <f>AND(#REF!,"AAAAAH96t3k=")</f>
        <v>#REF!</v>
      </c>
      <c r="DS67" s="34" t="e">
        <f>AND(#REF!,"AAAAAH96t3o=")</f>
        <v>#REF!</v>
      </c>
      <c r="DT67" s="34" t="e">
        <f>AND(#REF!,"AAAAAH96t3s=")</f>
        <v>#REF!</v>
      </c>
      <c r="DU67" s="34" t="e">
        <f>AND(#REF!,"AAAAAH96t3w=")</f>
        <v>#REF!</v>
      </c>
      <c r="DV67" s="34" t="e">
        <f>AND(#REF!,"AAAAAH96t30=")</f>
        <v>#REF!</v>
      </c>
      <c r="DW67" s="34" t="e">
        <f>AND(#REF!,"AAAAAH96t34=")</f>
        <v>#REF!</v>
      </c>
      <c r="DX67" s="34" t="e">
        <f>AND(#REF!,"AAAAAH96t38=")</f>
        <v>#REF!</v>
      </c>
      <c r="DY67" s="34" t="e">
        <f>AND(#REF!,"AAAAAH96t4A=")</f>
        <v>#REF!</v>
      </c>
      <c r="DZ67" s="34" t="e">
        <f>AND(#REF!,"AAAAAH96t4E=")</f>
        <v>#REF!</v>
      </c>
      <c r="EA67" s="34" t="e">
        <f>AND(#REF!,"AAAAAH96t4I=")</f>
        <v>#REF!</v>
      </c>
      <c r="EB67" s="34" t="e">
        <f>AND(#REF!,"AAAAAH96t4M=")</f>
        <v>#REF!</v>
      </c>
      <c r="EC67" s="34" t="e">
        <f>AND(#REF!,"AAAAAH96t4Q=")</f>
        <v>#REF!</v>
      </c>
      <c r="ED67" s="34" t="e">
        <f>AND(#REF!,"AAAAAH96t4U=")</f>
        <v>#REF!</v>
      </c>
      <c r="EE67" s="34" t="e">
        <f>AND(#REF!,"AAAAAH96t4Y=")</f>
        <v>#REF!</v>
      </c>
      <c r="EF67" s="34" t="e">
        <f>AND(#REF!,"AAAAAH96t4c=")</f>
        <v>#REF!</v>
      </c>
      <c r="EG67" s="34" t="e">
        <f>AND(#REF!,"AAAAAH96t4g=")</f>
        <v>#REF!</v>
      </c>
      <c r="EH67" s="34" t="e">
        <f>AND(#REF!,"AAAAAH96t4k=")</f>
        <v>#REF!</v>
      </c>
      <c r="EI67" s="34" t="e">
        <f>IF(#REF!,"AAAAAH96t4o=",0)</f>
        <v>#REF!</v>
      </c>
      <c r="EJ67" s="34" t="e">
        <f>AND(#REF!,"AAAAAH96t4s=")</f>
        <v>#REF!</v>
      </c>
      <c r="EK67" s="34" t="e">
        <f>AND(#REF!,"AAAAAH96t4w=")</f>
        <v>#REF!</v>
      </c>
      <c r="EL67" s="34" t="e">
        <f>AND(#REF!,"AAAAAH96t40=")</f>
        <v>#REF!</v>
      </c>
      <c r="EM67" s="34" t="e">
        <f>AND(#REF!,"AAAAAH96t44=")</f>
        <v>#REF!</v>
      </c>
      <c r="EN67" s="34" t="e">
        <f>AND(#REF!,"AAAAAH96t48=")</f>
        <v>#REF!</v>
      </c>
      <c r="EO67" s="34" t="e">
        <f>AND(#REF!,"AAAAAH96t5A=")</f>
        <v>#REF!</v>
      </c>
      <c r="EP67" s="34" t="e">
        <f>AND(#REF!,"AAAAAH96t5E=")</f>
        <v>#REF!</v>
      </c>
      <c r="EQ67" s="34" t="e">
        <f>AND(#REF!,"AAAAAH96t5I=")</f>
        <v>#REF!</v>
      </c>
      <c r="ER67" s="34" t="e">
        <f>AND(#REF!,"AAAAAH96t5M=")</f>
        <v>#REF!</v>
      </c>
      <c r="ES67" s="34" t="e">
        <f>AND(#REF!,"AAAAAH96t5Q=")</f>
        <v>#REF!</v>
      </c>
      <c r="ET67" s="34" t="e">
        <f>AND(#REF!,"AAAAAH96t5U=")</f>
        <v>#REF!</v>
      </c>
      <c r="EU67" s="34" t="e">
        <f>AND(#REF!,"AAAAAH96t5Y=")</f>
        <v>#REF!</v>
      </c>
      <c r="EV67" s="34" t="e">
        <f>AND(#REF!,"AAAAAH96t5c=")</f>
        <v>#REF!</v>
      </c>
      <c r="EW67" s="34" t="e">
        <f>AND(#REF!,"AAAAAH96t5g=")</f>
        <v>#REF!</v>
      </c>
      <c r="EX67" s="34" t="e">
        <f>AND(#REF!,"AAAAAH96t5k=")</f>
        <v>#REF!</v>
      </c>
      <c r="EY67" s="34" t="e">
        <f>AND(#REF!,"AAAAAH96t5o=")</f>
        <v>#REF!</v>
      </c>
      <c r="EZ67" s="34" t="e">
        <f>AND(#REF!,"AAAAAH96t5s=")</f>
        <v>#REF!</v>
      </c>
      <c r="FA67" s="34" t="e">
        <f>AND(#REF!,"AAAAAH96t5w=")</f>
        <v>#REF!</v>
      </c>
      <c r="FB67" s="34" t="e">
        <f>AND(#REF!,"AAAAAH96t50=")</f>
        <v>#REF!</v>
      </c>
      <c r="FC67" s="34" t="e">
        <f>AND(#REF!,"AAAAAH96t54=")</f>
        <v>#REF!</v>
      </c>
      <c r="FD67" s="34" t="e">
        <f>AND(#REF!,"AAAAAH96t58=")</f>
        <v>#REF!</v>
      </c>
      <c r="FE67" s="34" t="e">
        <f>AND(#REF!,"AAAAAH96t6A=")</f>
        <v>#REF!</v>
      </c>
      <c r="FF67" s="34" t="e">
        <f>AND(#REF!,"AAAAAH96t6E=")</f>
        <v>#REF!</v>
      </c>
      <c r="FG67" s="34" t="e">
        <f>AND(#REF!,"AAAAAH96t6I=")</f>
        <v>#REF!</v>
      </c>
      <c r="FH67" s="34" t="e">
        <f>AND(#REF!,"AAAAAH96t6M=")</f>
        <v>#REF!</v>
      </c>
      <c r="FI67" s="34" t="e">
        <f>AND(#REF!,"AAAAAH96t6Q=")</f>
        <v>#REF!</v>
      </c>
      <c r="FJ67" s="34" t="e">
        <f>AND(#REF!,"AAAAAH96t6U=")</f>
        <v>#REF!</v>
      </c>
      <c r="FK67" s="34" t="e">
        <f>AND(#REF!,"AAAAAH96t6Y=")</f>
        <v>#REF!</v>
      </c>
      <c r="FL67" s="34" t="e">
        <f>AND(#REF!,"AAAAAH96t6c=")</f>
        <v>#REF!</v>
      </c>
      <c r="FM67" s="34" t="e">
        <f>AND(#REF!,"AAAAAH96t6g=")</f>
        <v>#REF!</v>
      </c>
      <c r="FN67" s="34" t="e">
        <f>AND(#REF!,"AAAAAH96t6k=")</f>
        <v>#REF!</v>
      </c>
      <c r="FO67" s="34" t="e">
        <f>AND(#REF!,"AAAAAH96t6o=")</f>
        <v>#REF!</v>
      </c>
      <c r="FP67" s="34" t="e">
        <f>AND(#REF!,"AAAAAH96t6s=")</f>
        <v>#REF!</v>
      </c>
      <c r="FQ67" s="34" t="e">
        <f>AND(#REF!,"AAAAAH96t6w=")</f>
        <v>#REF!</v>
      </c>
      <c r="FR67" s="34" t="e">
        <f>AND(#REF!,"AAAAAH96t60=")</f>
        <v>#REF!</v>
      </c>
      <c r="FS67" s="34" t="e">
        <f>AND(#REF!,"AAAAAH96t64=")</f>
        <v>#REF!</v>
      </c>
      <c r="FT67" s="34" t="e">
        <f>AND(#REF!,"AAAAAH96t68=")</f>
        <v>#REF!</v>
      </c>
      <c r="FU67" s="34" t="e">
        <f>AND(#REF!,"AAAAAH96t7A=")</f>
        <v>#REF!</v>
      </c>
      <c r="FV67" s="34" t="e">
        <f>AND(#REF!,"AAAAAH96t7E=")</f>
        <v>#REF!</v>
      </c>
      <c r="FW67" s="34" t="e">
        <f>AND(#REF!,"AAAAAH96t7I=")</f>
        <v>#REF!</v>
      </c>
      <c r="FX67" s="34" t="e">
        <f>AND(#REF!,"AAAAAH96t7M=")</f>
        <v>#REF!</v>
      </c>
      <c r="FY67" s="34" t="e">
        <f>AND(#REF!,"AAAAAH96t7Q=")</f>
        <v>#REF!</v>
      </c>
      <c r="FZ67" s="34" t="e">
        <f>AND(#REF!,"AAAAAH96t7U=")</f>
        <v>#REF!</v>
      </c>
      <c r="GA67" s="34" t="e">
        <f>AND(#REF!,"AAAAAH96t7Y=")</f>
        <v>#REF!</v>
      </c>
      <c r="GB67" s="34" t="e">
        <f>AND(#REF!,"AAAAAH96t7c=")</f>
        <v>#REF!</v>
      </c>
      <c r="GC67" s="34" t="e">
        <f>AND(#REF!,"AAAAAH96t7g=")</f>
        <v>#REF!</v>
      </c>
      <c r="GD67" s="34" t="e">
        <f>AND(#REF!,"AAAAAH96t7k=")</f>
        <v>#REF!</v>
      </c>
      <c r="GE67" s="34" t="e">
        <f>AND(#REF!,"AAAAAH96t7o=")</f>
        <v>#REF!</v>
      </c>
      <c r="GF67" s="34" t="e">
        <f>AND(#REF!,"AAAAAH96t7s=")</f>
        <v>#REF!</v>
      </c>
      <c r="GG67" s="34" t="e">
        <f>AND(#REF!,"AAAAAH96t7w=")</f>
        <v>#REF!</v>
      </c>
      <c r="GH67" s="34" t="e">
        <f>AND(#REF!,"AAAAAH96t70=")</f>
        <v>#REF!</v>
      </c>
      <c r="GI67" s="34" t="e">
        <f>AND(#REF!,"AAAAAH96t74=")</f>
        <v>#REF!</v>
      </c>
      <c r="GJ67" s="34" t="e">
        <f>AND(#REF!,"AAAAAH96t78=")</f>
        <v>#REF!</v>
      </c>
      <c r="GK67" s="34" t="e">
        <f>AND(#REF!,"AAAAAH96t8A=")</f>
        <v>#REF!</v>
      </c>
      <c r="GL67" s="34" t="e">
        <f>AND(#REF!,"AAAAAH96t8E=")</f>
        <v>#REF!</v>
      </c>
      <c r="GM67" s="34" t="e">
        <f>AND(#REF!,"AAAAAH96t8I=")</f>
        <v>#REF!</v>
      </c>
      <c r="GN67" s="34" t="e">
        <f>AND(#REF!,"AAAAAH96t8M=")</f>
        <v>#REF!</v>
      </c>
      <c r="GO67" s="34" t="e">
        <f>AND(#REF!,"AAAAAH96t8Q=")</f>
        <v>#REF!</v>
      </c>
      <c r="GP67" s="34" t="e">
        <f>AND(#REF!,"AAAAAH96t8U=")</f>
        <v>#REF!</v>
      </c>
      <c r="GQ67" s="34" t="e">
        <f>AND(#REF!,"AAAAAH96t8Y=")</f>
        <v>#REF!</v>
      </c>
      <c r="GR67" s="34" t="e">
        <f>AND(#REF!,"AAAAAH96t8c=")</f>
        <v>#REF!</v>
      </c>
      <c r="GS67" s="34" t="e">
        <f>AND(#REF!,"AAAAAH96t8g=")</f>
        <v>#REF!</v>
      </c>
      <c r="GT67" s="34" t="e">
        <f>AND(#REF!,"AAAAAH96t8k=")</f>
        <v>#REF!</v>
      </c>
      <c r="GU67" s="34" t="e">
        <f>AND(#REF!,"AAAAAH96t8o=")</f>
        <v>#REF!</v>
      </c>
      <c r="GV67" s="34" t="e">
        <f>AND(#REF!,"AAAAAH96t8s=")</f>
        <v>#REF!</v>
      </c>
      <c r="GW67" s="34" t="e">
        <f>AND(#REF!,"AAAAAH96t8w=")</f>
        <v>#REF!</v>
      </c>
      <c r="GX67" s="34" t="e">
        <f>AND(#REF!,"AAAAAH96t80=")</f>
        <v>#REF!</v>
      </c>
      <c r="GY67" s="34" t="e">
        <f>AND(#REF!,"AAAAAH96t84=")</f>
        <v>#REF!</v>
      </c>
      <c r="GZ67" s="34" t="e">
        <f>AND(#REF!,"AAAAAH96t88=")</f>
        <v>#REF!</v>
      </c>
      <c r="HA67" s="34" t="e">
        <f>AND(#REF!,"AAAAAH96t9A=")</f>
        <v>#REF!</v>
      </c>
      <c r="HB67" s="34" t="e">
        <f>AND(#REF!,"AAAAAH96t9E=")</f>
        <v>#REF!</v>
      </c>
      <c r="HC67" s="34" t="e">
        <f>AND(#REF!,"AAAAAH96t9I=")</f>
        <v>#REF!</v>
      </c>
      <c r="HD67" s="34" t="e">
        <f>IF(#REF!,"AAAAAH96t9M=",0)</f>
        <v>#REF!</v>
      </c>
      <c r="HE67" s="34" t="e">
        <f>AND(#REF!,"AAAAAH96t9Q=")</f>
        <v>#REF!</v>
      </c>
      <c r="HF67" s="34" t="e">
        <f>AND(#REF!,"AAAAAH96t9U=")</f>
        <v>#REF!</v>
      </c>
      <c r="HG67" s="34" t="e">
        <f>AND(#REF!,"AAAAAH96t9Y=")</f>
        <v>#REF!</v>
      </c>
      <c r="HH67" s="34" t="e">
        <f>AND(#REF!,"AAAAAH96t9c=")</f>
        <v>#REF!</v>
      </c>
      <c r="HI67" s="34" t="e">
        <f>AND(#REF!,"AAAAAH96t9g=")</f>
        <v>#REF!</v>
      </c>
      <c r="HJ67" s="34" t="e">
        <f>AND(#REF!,"AAAAAH96t9k=")</f>
        <v>#REF!</v>
      </c>
      <c r="HK67" s="34" t="e">
        <f>AND(#REF!,"AAAAAH96t9o=")</f>
        <v>#REF!</v>
      </c>
      <c r="HL67" s="34" t="e">
        <f>AND(#REF!,"AAAAAH96t9s=")</f>
        <v>#REF!</v>
      </c>
      <c r="HM67" s="34" t="e">
        <f>AND(#REF!,"AAAAAH96t9w=")</f>
        <v>#REF!</v>
      </c>
      <c r="HN67" s="34" t="e">
        <f>AND(#REF!,"AAAAAH96t90=")</f>
        <v>#REF!</v>
      </c>
      <c r="HO67" s="34" t="e">
        <f>AND(#REF!,"AAAAAH96t94=")</f>
        <v>#REF!</v>
      </c>
      <c r="HP67" s="34" t="e">
        <f>AND(#REF!,"AAAAAH96t98=")</f>
        <v>#REF!</v>
      </c>
      <c r="HQ67" s="34" t="e">
        <f>AND(#REF!,"AAAAAH96t+A=")</f>
        <v>#REF!</v>
      </c>
      <c r="HR67" s="34" t="e">
        <f>AND(#REF!,"AAAAAH96t+E=")</f>
        <v>#REF!</v>
      </c>
      <c r="HS67" s="34" t="e">
        <f>AND(#REF!,"AAAAAH96t+I=")</f>
        <v>#REF!</v>
      </c>
      <c r="HT67" s="34" t="e">
        <f>AND(#REF!,"AAAAAH96t+M=")</f>
        <v>#REF!</v>
      </c>
      <c r="HU67" s="34" t="e">
        <f>AND(#REF!,"AAAAAH96t+Q=")</f>
        <v>#REF!</v>
      </c>
      <c r="HV67" s="34" t="e">
        <f>AND(#REF!,"AAAAAH96t+U=")</f>
        <v>#REF!</v>
      </c>
      <c r="HW67" s="34" t="e">
        <f>AND(#REF!,"AAAAAH96t+Y=")</f>
        <v>#REF!</v>
      </c>
      <c r="HX67" s="34" t="e">
        <f>AND(#REF!,"AAAAAH96t+c=")</f>
        <v>#REF!</v>
      </c>
      <c r="HY67" s="34" t="e">
        <f>AND(#REF!,"AAAAAH96t+g=")</f>
        <v>#REF!</v>
      </c>
      <c r="HZ67" s="34" t="e">
        <f>AND(#REF!,"AAAAAH96t+k=")</f>
        <v>#REF!</v>
      </c>
      <c r="IA67" s="34" t="e">
        <f>AND(#REF!,"AAAAAH96t+o=")</f>
        <v>#REF!</v>
      </c>
      <c r="IB67" s="34" t="e">
        <f>AND(#REF!,"AAAAAH96t+s=")</f>
        <v>#REF!</v>
      </c>
      <c r="IC67" s="34" t="e">
        <f>AND(#REF!,"AAAAAH96t+w=")</f>
        <v>#REF!</v>
      </c>
      <c r="ID67" s="34" t="e">
        <f>AND(#REF!,"AAAAAH96t+0=")</f>
        <v>#REF!</v>
      </c>
      <c r="IE67" s="34" t="e">
        <f>AND(#REF!,"AAAAAH96t+4=")</f>
        <v>#REF!</v>
      </c>
      <c r="IF67" s="34" t="e">
        <f>AND(#REF!,"AAAAAH96t+8=")</f>
        <v>#REF!</v>
      </c>
      <c r="IG67" s="34" t="e">
        <f>AND(#REF!,"AAAAAH96t/A=")</f>
        <v>#REF!</v>
      </c>
      <c r="IH67" s="34" t="e">
        <f>AND(#REF!,"AAAAAH96t/E=")</f>
        <v>#REF!</v>
      </c>
      <c r="II67" s="34" t="e">
        <f>AND(#REF!,"AAAAAH96t/I=")</f>
        <v>#REF!</v>
      </c>
      <c r="IJ67" s="34" t="e">
        <f>AND(#REF!,"AAAAAH96t/M=")</f>
        <v>#REF!</v>
      </c>
      <c r="IK67" s="34" t="e">
        <f>AND(#REF!,"AAAAAH96t/Q=")</f>
        <v>#REF!</v>
      </c>
      <c r="IL67" s="34" t="e">
        <f>AND(#REF!,"AAAAAH96t/U=")</f>
        <v>#REF!</v>
      </c>
      <c r="IM67" s="34" t="e">
        <f>AND(#REF!,"AAAAAH96t/Y=")</f>
        <v>#REF!</v>
      </c>
      <c r="IN67" s="34" t="e">
        <f>AND(#REF!,"AAAAAH96t/c=")</f>
        <v>#REF!</v>
      </c>
      <c r="IO67" s="34" t="e">
        <f>AND(#REF!,"AAAAAH96t/g=")</f>
        <v>#REF!</v>
      </c>
      <c r="IP67" s="34" t="e">
        <f>AND(#REF!,"AAAAAH96t/k=")</f>
        <v>#REF!</v>
      </c>
      <c r="IQ67" s="34" t="e">
        <f>AND(#REF!,"AAAAAH96t/o=")</f>
        <v>#REF!</v>
      </c>
      <c r="IR67" s="34" t="e">
        <f>AND(#REF!,"AAAAAH96t/s=")</f>
        <v>#REF!</v>
      </c>
      <c r="IS67" s="34" t="e">
        <f>AND(#REF!,"AAAAAH96t/w=")</f>
        <v>#REF!</v>
      </c>
      <c r="IT67" s="34" t="e">
        <f>AND(#REF!,"AAAAAH96t/0=")</f>
        <v>#REF!</v>
      </c>
      <c r="IU67" s="34" t="e">
        <f>AND(#REF!,"AAAAAH96t/4=")</f>
        <v>#REF!</v>
      </c>
      <c r="IV67" s="34" t="e">
        <f>AND(#REF!,"AAAAAH96t/8=")</f>
        <v>#REF!</v>
      </c>
    </row>
    <row r="68" spans="1:256" ht="12.75" customHeight="1" x14ac:dyDescent="0.2">
      <c r="A68" s="34" t="e">
        <f>AND(#REF!,"AAAAAA1ljQA=")</f>
        <v>#REF!</v>
      </c>
      <c r="B68" s="34" t="e">
        <f>AND(#REF!,"AAAAAA1ljQE=")</f>
        <v>#REF!</v>
      </c>
      <c r="C68" s="34" t="e">
        <f>AND(#REF!,"AAAAAA1ljQI=")</f>
        <v>#REF!</v>
      </c>
      <c r="D68" s="34" t="e">
        <f>AND(#REF!,"AAAAAA1ljQM=")</f>
        <v>#REF!</v>
      </c>
      <c r="E68" s="34" t="e">
        <f>AND(#REF!,"AAAAAA1ljQQ=")</f>
        <v>#REF!</v>
      </c>
      <c r="F68" s="34" t="e">
        <f>AND(#REF!,"AAAAAA1ljQU=")</f>
        <v>#REF!</v>
      </c>
      <c r="G68" s="34" t="e">
        <f>AND(#REF!,"AAAAAA1ljQY=")</f>
        <v>#REF!</v>
      </c>
      <c r="H68" s="34" t="e">
        <f>AND(#REF!,"AAAAAA1ljQc=")</f>
        <v>#REF!</v>
      </c>
      <c r="I68" s="34" t="e">
        <f>AND(#REF!,"AAAAAA1ljQg=")</f>
        <v>#REF!</v>
      </c>
      <c r="J68" s="34" t="e">
        <f>AND(#REF!,"AAAAAA1ljQk=")</f>
        <v>#REF!</v>
      </c>
      <c r="K68" s="34" t="e">
        <f>AND(#REF!,"AAAAAA1ljQo=")</f>
        <v>#REF!</v>
      </c>
      <c r="L68" s="34" t="e">
        <f>AND(#REF!,"AAAAAA1ljQs=")</f>
        <v>#REF!</v>
      </c>
      <c r="M68" s="34" t="e">
        <f>AND(#REF!,"AAAAAA1ljQw=")</f>
        <v>#REF!</v>
      </c>
      <c r="N68" s="34" t="e">
        <f>AND(#REF!,"AAAAAA1ljQ0=")</f>
        <v>#REF!</v>
      </c>
      <c r="O68" s="34" t="e">
        <f>AND(#REF!,"AAAAAA1ljQ4=")</f>
        <v>#REF!</v>
      </c>
      <c r="P68" s="34" t="e">
        <f>AND(#REF!,"AAAAAA1ljQ8=")</f>
        <v>#REF!</v>
      </c>
      <c r="Q68" s="34" t="e">
        <f>AND(#REF!,"AAAAAA1ljRA=")</f>
        <v>#REF!</v>
      </c>
      <c r="R68" s="34" t="e">
        <f>AND(#REF!,"AAAAAA1ljRE=")</f>
        <v>#REF!</v>
      </c>
      <c r="S68" s="34" t="e">
        <f>AND(#REF!,"AAAAAA1ljRI=")</f>
        <v>#REF!</v>
      </c>
      <c r="T68" s="34" t="e">
        <f>AND(#REF!,"AAAAAA1ljRM=")</f>
        <v>#REF!</v>
      </c>
      <c r="U68" s="34" t="e">
        <f>AND(#REF!,"AAAAAA1ljRQ=")</f>
        <v>#REF!</v>
      </c>
      <c r="V68" s="34" t="e">
        <f>AND(#REF!,"AAAAAA1ljRU=")</f>
        <v>#REF!</v>
      </c>
      <c r="W68" s="34" t="e">
        <f>AND(#REF!,"AAAAAA1ljRY=")</f>
        <v>#REF!</v>
      </c>
      <c r="X68" s="34" t="e">
        <f>AND(#REF!,"AAAAAA1ljRc=")</f>
        <v>#REF!</v>
      </c>
      <c r="Y68" s="34" t="e">
        <f>AND(#REF!,"AAAAAA1ljRg=")</f>
        <v>#REF!</v>
      </c>
      <c r="Z68" s="34" t="e">
        <f>AND(#REF!,"AAAAAA1ljRk=")</f>
        <v>#REF!</v>
      </c>
      <c r="AA68" s="34" t="e">
        <f>AND(#REF!,"AAAAAA1ljRo=")</f>
        <v>#REF!</v>
      </c>
      <c r="AB68" s="34" t="e">
        <f>AND(#REF!,"AAAAAA1ljRs=")</f>
        <v>#REF!</v>
      </c>
      <c r="AC68" s="34" t="e">
        <f>IF(#REF!,"AAAAAA1ljRw=",0)</f>
        <v>#REF!</v>
      </c>
      <c r="AD68" s="34" t="e">
        <f>AND(#REF!,"AAAAAA1ljR0=")</f>
        <v>#REF!</v>
      </c>
      <c r="AE68" s="34" t="e">
        <f>AND(#REF!,"AAAAAA1ljR4=")</f>
        <v>#REF!</v>
      </c>
      <c r="AF68" s="34" t="e">
        <f>AND(#REF!,"AAAAAA1ljR8=")</f>
        <v>#REF!</v>
      </c>
      <c r="AG68" s="34" t="e">
        <f>AND(#REF!,"AAAAAA1ljSA=")</f>
        <v>#REF!</v>
      </c>
      <c r="AH68" s="34" t="e">
        <f>AND(#REF!,"AAAAAA1ljSE=")</f>
        <v>#REF!</v>
      </c>
      <c r="AI68" s="34" t="e">
        <f>AND(#REF!,"AAAAAA1ljSI=")</f>
        <v>#REF!</v>
      </c>
      <c r="AJ68" s="34" t="e">
        <f>AND(#REF!,"AAAAAA1ljSM=")</f>
        <v>#REF!</v>
      </c>
      <c r="AK68" s="34" t="e">
        <f>AND(#REF!,"AAAAAA1ljSQ=")</f>
        <v>#REF!</v>
      </c>
      <c r="AL68" s="34" t="e">
        <f>AND(#REF!,"AAAAAA1ljSU=")</f>
        <v>#REF!</v>
      </c>
      <c r="AM68" s="34" t="e">
        <f>AND(#REF!,"AAAAAA1ljSY=")</f>
        <v>#REF!</v>
      </c>
      <c r="AN68" s="34" t="e">
        <f>AND(#REF!,"AAAAAA1ljSc=")</f>
        <v>#REF!</v>
      </c>
      <c r="AO68" s="34" t="e">
        <f>AND(#REF!,"AAAAAA1ljSg=")</f>
        <v>#REF!</v>
      </c>
      <c r="AP68" s="34" t="e">
        <f>AND(#REF!,"AAAAAA1ljSk=")</f>
        <v>#REF!</v>
      </c>
      <c r="AQ68" s="34" t="e">
        <f>AND(#REF!,"AAAAAA1ljSo=")</f>
        <v>#REF!</v>
      </c>
      <c r="AR68" s="34" t="e">
        <f>AND(#REF!,"AAAAAA1ljSs=")</f>
        <v>#REF!</v>
      </c>
      <c r="AS68" s="34" t="e">
        <f>AND(#REF!,"AAAAAA1ljSw=")</f>
        <v>#REF!</v>
      </c>
      <c r="AT68" s="34" t="e">
        <f>AND(#REF!,"AAAAAA1ljS0=")</f>
        <v>#REF!</v>
      </c>
      <c r="AU68" s="34" t="e">
        <f>AND(#REF!,"AAAAAA1ljS4=")</f>
        <v>#REF!</v>
      </c>
      <c r="AV68" s="34" t="e">
        <f>AND(#REF!,"AAAAAA1ljS8=")</f>
        <v>#REF!</v>
      </c>
      <c r="AW68" s="34" t="e">
        <f>AND(#REF!,"AAAAAA1ljTA=")</f>
        <v>#REF!</v>
      </c>
      <c r="AX68" s="34" t="e">
        <f>AND(#REF!,"AAAAAA1ljTE=")</f>
        <v>#REF!</v>
      </c>
      <c r="AY68" s="34" t="e">
        <f>AND(#REF!,"AAAAAA1ljTI=")</f>
        <v>#REF!</v>
      </c>
      <c r="AZ68" s="34" t="e">
        <f>AND(#REF!,"AAAAAA1ljTM=")</f>
        <v>#REF!</v>
      </c>
      <c r="BA68" s="34" t="e">
        <f>AND(#REF!,"AAAAAA1ljTQ=")</f>
        <v>#REF!</v>
      </c>
      <c r="BB68" s="34" t="e">
        <f>AND(#REF!,"AAAAAA1ljTU=")</f>
        <v>#REF!</v>
      </c>
      <c r="BC68" s="34" t="e">
        <f>AND(#REF!,"AAAAAA1ljTY=")</f>
        <v>#REF!</v>
      </c>
      <c r="BD68" s="34" t="e">
        <f>AND(#REF!,"AAAAAA1ljTc=")</f>
        <v>#REF!</v>
      </c>
      <c r="BE68" s="34" t="e">
        <f>AND(#REF!,"AAAAAA1ljTg=")</f>
        <v>#REF!</v>
      </c>
      <c r="BF68" s="34" t="e">
        <f>AND(#REF!,"AAAAAA1ljTk=")</f>
        <v>#REF!</v>
      </c>
      <c r="BG68" s="34" t="e">
        <f>AND(#REF!,"AAAAAA1ljTo=")</f>
        <v>#REF!</v>
      </c>
      <c r="BH68" s="34" t="e">
        <f>AND(#REF!,"AAAAAA1ljTs=")</f>
        <v>#REF!</v>
      </c>
      <c r="BI68" s="34" t="e">
        <f>AND(#REF!,"AAAAAA1ljTw=")</f>
        <v>#REF!</v>
      </c>
      <c r="BJ68" s="34" t="e">
        <f>AND(#REF!,"AAAAAA1ljT0=")</f>
        <v>#REF!</v>
      </c>
      <c r="BK68" s="34" t="e">
        <f>AND(#REF!,"AAAAAA1ljT4=")</f>
        <v>#REF!</v>
      </c>
      <c r="BL68" s="34" t="e">
        <f>AND(#REF!,"AAAAAA1ljT8=")</f>
        <v>#REF!</v>
      </c>
      <c r="BM68" s="34" t="e">
        <f>AND(#REF!,"AAAAAA1ljUA=")</f>
        <v>#REF!</v>
      </c>
      <c r="BN68" s="34" t="e">
        <f>AND(#REF!,"AAAAAA1ljUE=")</f>
        <v>#REF!</v>
      </c>
      <c r="BO68" s="34" t="e">
        <f>AND(#REF!,"AAAAAA1ljUI=")</f>
        <v>#REF!</v>
      </c>
      <c r="BP68" s="34" t="e">
        <f>AND(#REF!,"AAAAAA1ljUM=")</f>
        <v>#REF!</v>
      </c>
      <c r="BQ68" s="34" t="e">
        <f>AND(#REF!,"AAAAAA1ljUQ=")</f>
        <v>#REF!</v>
      </c>
      <c r="BR68" s="34" t="e">
        <f>AND(#REF!,"AAAAAA1ljUU=")</f>
        <v>#REF!</v>
      </c>
      <c r="BS68" s="34" t="e">
        <f>AND(#REF!,"AAAAAA1ljUY=")</f>
        <v>#REF!</v>
      </c>
      <c r="BT68" s="34" t="e">
        <f>AND(#REF!,"AAAAAA1ljUc=")</f>
        <v>#REF!</v>
      </c>
      <c r="BU68" s="34" t="e">
        <f>AND(#REF!,"AAAAAA1ljUg=")</f>
        <v>#REF!</v>
      </c>
      <c r="BV68" s="34" t="e">
        <f>AND(#REF!,"AAAAAA1ljUk=")</f>
        <v>#REF!</v>
      </c>
      <c r="BW68" s="34" t="e">
        <f>AND(#REF!,"AAAAAA1ljUo=")</f>
        <v>#REF!</v>
      </c>
      <c r="BX68" s="34" t="e">
        <f>AND(#REF!,"AAAAAA1ljUs=")</f>
        <v>#REF!</v>
      </c>
      <c r="BY68" s="34" t="e">
        <f>AND(#REF!,"AAAAAA1ljUw=")</f>
        <v>#REF!</v>
      </c>
      <c r="BZ68" s="34" t="e">
        <f>AND(#REF!,"AAAAAA1ljU0=")</f>
        <v>#REF!</v>
      </c>
      <c r="CA68" s="34" t="e">
        <f>AND(#REF!,"AAAAAA1ljU4=")</f>
        <v>#REF!</v>
      </c>
      <c r="CB68" s="34" t="e">
        <f>AND(#REF!,"AAAAAA1ljU8=")</f>
        <v>#REF!</v>
      </c>
      <c r="CC68" s="34" t="e">
        <f>AND(#REF!,"AAAAAA1ljVA=")</f>
        <v>#REF!</v>
      </c>
      <c r="CD68" s="34" t="e">
        <f>AND(#REF!,"AAAAAA1ljVE=")</f>
        <v>#REF!</v>
      </c>
      <c r="CE68" s="34" t="e">
        <f>AND(#REF!,"AAAAAA1ljVI=")</f>
        <v>#REF!</v>
      </c>
      <c r="CF68" s="34" t="e">
        <f>AND(#REF!,"AAAAAA1ljVM=")</f>
        <v>#REF!</v>
      </c>
      <c r="CG68" s="34" t="e">
        <f>AND(#REF!,"AAAAAA1ljVQ=")</f>
        <v>#REF!</v>
      </c>
      <c r="CH68" s="34" t="e">
        <f>AND(#REF!,"AAAAAA1ljVU=")</f>
        <v>#REF!</v>
      </c>
      <c r="CI68" s="34" t="e">
        <f>AND(#REF!,"AAAAAA1ljVY=")</f>
        <v>#REF!</v>
      </c>
      <c r="CJ68" s="34" t="e">
        <f>AND(#REF!,"AAAAAA1ljVc=")</f>
        <v>#REF!</v>
      </c>
      <c r="CK68" s="34" t="e">
        <f>AND(#REF!,"AAAAAA1ljVg=")</f>
        <v>#REF!</v>
      </c>
      <c r="CL68" s="34" t="e">
        <f>AND(#REF!,"AAAAAA1ljVk=")</f>
        <v>#REF!</v>
      </c>
      <c r="CM68" s="34" t="e">
        <f>AND(#REF!,"AAAAAA1ljVo=")</f>
        <v>#REF!</v>
      </c>
      <c r="CN68" s="34" t="e">
        <f>AND(#REF!,"AAAAAA1ljVs=")</f>
        <v>#REF!</v>
      </c>
      <c r="CO68" s="34" t="e">
        <f>AND(#REF!,"AAAAAA1ljVw=")</f>
        <v>#REF!</v>
      </c>
      <c r="CP68" s="34" t="e">
        <f>AND(#REF!,"AAAAAA1ljV0=")</f>
        <v>#REF!</v>
      </c>
      <c r="CQ68" s="34" t="e">
        <f>AND(#REF!,"AAAAAA1ljV4=")</f>
        <v>#REF!</v>
      </c>
      <c r="CR68" s="34" t="e">
        <f>AND(#REF!,"AAAAAA1ljV8=")</f>
        <v>#REF!</v>
      </c>
      <c r="CS68" s="34" t="e">
        <f>AND(#REF!,"AAAAAA1ljWA=")</f>
        <v>#REF!</v>
      </c>
      <c r="CT68" s="34" t="e">
        <f>AND(#REF!,"AAAAAA1ljWE=")</f>
        <v>#REF!</v>
      </c>
      <c r="CU68" s="34" t="e">
        <f>AND(#REF!,"AAAAAA1ljWI=")</f>
        <v>#REF!</v>
      </c>
      <c r="CV68" s="34" t="e">
        <f>AND(#REF!,"AAAAAA1ljWM=")</f>
        <v>#REF!</v>
      </c>
      <c r="CW68" s="34" t="e">
        <f>AND(#REF!,"AAAAAA1ljWQ=")</f>
        <v>#REF!</v>
      </c>
      <c r="CX68" s="34" t="e">
        <f>IF(#REF!,"AAAAAA1ljWU=",0)</f>
        <v>#REF!</v>
      </c>
      <c r="CY68" s="34" t="e">
        <f>AND(#REF!,"AAAAAA1ljWY=")</f>
        <v>#REF!</v>
      </c>
      <c r="CZ68" s="34" t="e">
        <f>AND(#REF!,"AAAAAA1ljWc=")</f>
        <v>#REF!</v>
      </c>
      <c r="DA68" s="34" t="e">
        <f>AND(#REF!,"AAAAAA1ljWg=")</f>
        <v>#REF!</v>
      </c>
      <c r="DB68" s="34" t="e">
        <f>AND(#REF!,"AAAAAA1ljWk=")</f>
        <v>#REF!</v>
      </c>
      <c r="DC68" s="34" t="e">
        <f>AND(#REF!,"AAAAAA1ljWo=")</f>
        <v>#REF!</v>
      </c>
      <c r="DD68" s="34" t="e">
        <f>AND(#REF!,"AAAAAA1ljWs=")</f>
        <v>#REF!</v>
      </c>
      <c r="DE68" s="34" t="e">
        <f>AND(#REF!,"AAAAAA1ljWw=")</f>
        <v>#REF!</v>
      </c>
      <c r="DF68" s="34" t="e">
        <f>AND(#REF!,"AAAAAA1ljW0=")</f>
        <v>#REF!</v>
      </c>
      <c r="DG68" s="34" t="e">
        <f>AND(#REF!,"AAAAAA1ljW4=")</f>
        <v>#REF!</v>
      </c>
      <c r="DH68" s="34" t="e">
        <f>AND(#REF!,"AAAAAA1ljW8=")</f>
        <v>#REF!</v>
      </c>
      <c r="DI68" s="34" t="e">
        <f>AND(#REF!,"AAAAAA1ljXA=")</f>
        <v>#REF!</v>
      </c>
      <c r="DJ68" s="34" t="e">
        <f>AND(#REF!,"AAAAAA1ljXE=")</f>
        <v>#REF!</v>
      </c>
      <c r="DK68" s="34" t="e">
        <f>AND(#REF!,"AAAAAA1ljXI=")</f>
        <v>#REF!</v>
      </c>
      <c r="DL68" s="34" t="e">
        <f>AND(#REF!,"AAAAAA1ljXM=")</f>
        <v>#REF!</v>
      </c>
      <c r="DM68" s="34" t="e">
        <f>AND(#REF!,"AAAAAA1ljXQ=")</f>
        <v>#REF!</v>
      </c>
      <c r="DN68" s="34" t="e">
        <f>AND(#REF!,"AAAAAA1ljXU=")</f>
        <v>#REF!</v>
      </c>
      <c r="DO68" s="34" t="e">
        <f>AND(#REF!,"AAAAAA1ljXY=")</f>
        <v>#REF!</v>
      </c>
      <c r="DP68" s="34" t="e">
        <f>AND(#REF!,"AAAAAA1ljXc=")</f>
        <v>#REF!</v>
      </c>
      <c r="DQ68" s="34" t="e">
        <f>AND(#REF!,"AAAAAA1ljXg=")</f>
        <v>#REF!</v>
      </c>
      <c r="DR68" s="34" t="e">
        <f>AND(#REF!,"AAAAAA1ljXk=")</f>
        <v>#REF!</v>
      </c>
      <c r="DS68" s="34" t="e">
        <f>AND(#REF!,"AAAAAA1ljXo=")</f>
        <v>#REF!</v>
      </c>
      <c r="DT68" s="34" t="e">
        <f>AND(#REF!,"AAAAAA1ljXs=")</f>
        <v>#REF!</v>
      </c>
      <c r="DU68" s="34" t="e">
        <f>AND(#REF!,"AAAAAA1ljXw=")</f>
        <v>#REF!</v>
      </c>
      <c r="DV68" s="34" t="e">
        <f>AND(#REF!,"AAAAAA1ljX0=")</f>
        <v>#REF!</v>
      </c>
      <c r="DW68" s="34" t="e">
        <f>AND(#REF!,"AAAAAA1ljX4=")</f>
        <v>#REF!</v>
      </c>
      <c r="DX68" s="34" t="e">
        <f>AND(#REF!,"AAAAAA1ljX8=")</f>
        <v>#REF!</v>
      </c>
      <c r="DY68" s="34" t="e">
        <f>AND(#REF!,"AAAAAA1ljYA=")</f>
        <v>#REF!</v>
      </c>
      <c r="DZ68" s="34" t="e">
        <f>AND(#REF!,"AAAAAA1ljYE=")</f>
        <v>#REF!</v>
      </c>
      <c r="EA68" s="34" t="e">
        <f>AND(#REF!,"AAAAAA1ljYI=")</f>
        <v>#REF!</v>
      </c>
      <c r="EB68" s="34" t="e">
        <f>AND(#REF!,"AAAAAA1ljYM=")</f>
        <v>#REF!</v>
      </c>
      <c r="EC68" s="34" t="e">
        <f>AND(#REF!,"AAAAAA1ljYQ=")</f>
        <v>#REF!</v>
      </c>
      <c r="ED68" s="34" t="e">
        <f>AND(#REF!,"AAAAAA1ljYU=")</f>
        <v>#REF!</v>
      </c>
      <c r="EE68" s="34" t="e">
        <f>AND(#REF!,"AAAAAA1ljYY=")</f>
        <v>#REF!</v>
      </c>
      <c r="EF68" s="34" t="e">
        <f>AND(#REF!,"AAAAAA1ljYc=")</f>
        <v>#REF!</v>
      </c>
      <c r="EG68" s="34" t="e">
        <f>AND(#REF!,"AAAAAA1ljYg=")</f>
        <v>#REF!</v>
      </c>
      <c r="EH68" s="34" t="e">
        <f>AND(#REF!,"AAAAAA1ljYk=")</f>
        <v>#REF!</v>
      </c>
      <c r="EI68" s="34" t="e">
        <f>AND(#REF!,"AAAAAA1ljYo=")</f>
        <v>#REF!</v>
      </c>
      <c r="EJ68" s="34" t="e">
        <f>AND(#REF!,"AAAAAA1ljYs=")</f>
        <v>#REF!</v>
      </c>
      <c r="EK68" s="34" t="e">
        <f>AND(#REF!,"AAAAAA1ljYw=")</f>
        <v>#REF!</v>
      </c>
      <c r="EL68" s="34" t="e">
        <f>AND(#REF!,"AAAAAA1ljY0=")</f>
        <v>#REF!</v>
      </c>
      <c r="EM68" s="34" t="e">
        <f>AND(#REF!,"AAAAAA1ljY4=")</f>
        <v>#REF!</v>
      </c>
      <c r="EN68" s="34" t="e">
        <f>AND(#REF!,"AAAAAA1ljY8=")</f>
        <v>#REF!</v>
      </c>
      <c r="EO68" s="34" t="e">
        <f>AND(#REF!,"AAAAAA1ljZA=")</f>
        <v>#REF!</v>
      </c>
      <c r="EP68" s="34" t="e">
        <f>AND(#REF!,"AAAAAA1ljZE=")</f>
        <v>#REF!</v>
      </c>
      <c r="EQ68" s="34" t="e">
        <f>AND(#REF!,"AAAAAA1ljZI=")</f>
        <v>#REF!</v>
      </c>
      <c r="ER68" s="34" t="e">
        <f>AND(#REF!,"AAAAAA1ljZM=")</f>
        <v>#REF!</v>
      </c>
      <c r="ES68" s="34" t="e">
        <f>AND(#REF!,"AAAAAA1ljZQ=")</f>
        <v>#REF!</v>
      </c>
      <c r="ET68" s="34" t="e">
        <f>AND(#REF!,"AAAAAA1ljZU=")</f>
        <v>#REF!</v>
      </c>
      <c r="EU68" s="34" t="e">
        <f>AND(#REF!,"AAAAAA1ljZY=")</f>
        <v>#REF!</v>
      </c>
      <c r="EV68" s="34" t="e">
        <f>AND(#REF!,"AAAAAA1ljZc=")</f>
        <v>#REF!</v>
      </c>
      <c r="EW68" s="34" t="e">
        <f>AND(#REF!,"AAAAAA1ljZg=")</f>
        <v>#REF!</v>
      </c>
      <c r="EX68" s="34" t="e">
        <f>AND(#REF!,"AAAAAA1ljZk=")</f>
        <v>#REF!</v>
      </c>
      <c r="EY68" s="34" t="e">
        <f>AND(#REF!,"AAAAAA1ljZo=")</f>
        <v>#REF!</v>
      </c>
      <c r="EZ68" s="34" t="e">
        <f>AND(#REF!,"AAAAAA1ljZs=")</f>
        <v>#REF!</v>
      </c>
      <c r="FA68" s="34" t="e">
        <f>AND(#REF!,"AAAAAA1ljZw=")</f>
        <v>#REF!</v>
      </c>
      <c r="FB68" s="34" t="e">
        <f>AND(#REF!,"AAAAAA1ljZ0=")</f>
        <v>#REF!</v>
      </c>
      <c r="FC68" s="34" t="e">
        <f>AND(#REF!,"AAAAAA1ljZ4=")</f>
        <v>#REF!</v>
      </c>
      <c r="FD68" s="34" t="e">
        <f>AND(#REF!,"AAAAAA1ljZ8=")</f>
        <v>#REF!</v>
      </c>
      <c r="FE68" s="34" t="e">
        <f>AND(#REF!,"AAAAAA1ljaA=")</f>
        <v>#REF!</v>
      </c>
      <c r="FF68" s="34" t="e">
        <f>AND(#REF!,"AAAAAA1ljaE=")</f>
        <v>#REF!</v>
      </c>
      <c r="FG68" s="34" t="e">
        <f>AND(#REF!,"AAAAAA1ljaI=")</f>
        <v>#REF!</v>
      </c>
      <c r="FH68" s="34" t="e">
        <f>AND(#REF!,"AAAAAA1ljaM=")</f>
        <v>#REF!</v>
      </c>
      <c r="FI68" s="34" t="e">
        <f>AND(#REF!,"AAAAAA1ljaQ=")</f>
        <v>#REF!</v>
      </c>
      <c r="FJ68" s="34" t="e">
        <f>AND(#REF!,"AAAAAA1ljaU=")</f>
        <v>#REF!</v>
      </c>
      <c r="FK68" s="34" t="e">
        <f>AND(#REF!,"AAAAAA1ljaY=")</f>
        <v>#REF!</v>
      </c>
      <c r="FL68" s="34" t="e">
        <f>AND(#REF!,"AAAAAA1ljac=")</f>
        <v>#REF!</v>
      </c>
      <c r="FM68" s="34" t="e">
        <f>AND(#REF!,"AAAAAA1ljag=")</f>
        <v>#REF!</v>
      </c>
      <c r="FN68" s="34" t="e">
        <f>AND(#REF!,"AAAAAA1ljak=")</f>
        <v>#REF!</v>
      </c>
      <c r="FO68" s="34" t="e">
        <f>AND(#REF!,"AAAAAA1ljao=")</f>
        <v>#REF!</v>
      </c>
      <c r="FP68" s="34" t="e">
        <f>AND(#REF!,"AAAAAA1ljas=")</f>
        <v>#REF!</v>
      </c>
      <c r="FQ68" s="34" t="e">
        <f>AND(#REF!,"AAAAAA1ljaw=")</f>
        <v>#REF!</v>
      </c>
      <c r="FR68" s="34" t="e">
        <f>AND(#REF!,"AAAAAA1lja0=")</f>
        <v>#REF!</v>
      </c>
      <c r="FS68" s="34" t="e">
        <f>IF(#REF!,"AAAAAA1lja4=",0)</f>
        <v>#REF!</v>
      </c>
      <c r="FT68" s="34" t="e">
        <f>AND(#REF!,"AAAAAA1lja8=")</f>
        <v>#REF!</v>
      </c>
      <c r="FU68" s="34" t="e">
        <f>AND(#REF!,"AAAAAA1ljbA=")</f>
        <v>#REF!</v>
      </c>
      <c r="FV68" s="34" t="e">
        <f>AND(#REF!,"AAAAAA1ljbE=")</f>
        <v>#REF!</v>
      </c>
      <c r="FW68" s="34" t="e">
        <f>AND(#REF!,"AAAAAA1ljbI=")</f>
        <v>#REF!</v>
      </c>
      <c r="FX68" s="34" t="e">
        <f>AND(#REF!,"AAAAAA1ljbM=")</f>
        <v>#REF!</v>
      </c>
      <c r="FY68" s="34" t="e">
        <f>AND(#REF!,"AAAAAA1ljbQ=")</f>
        <v>#REF!</v>
      </c>
      <c r="FZ68" s="34" t="e">
        <f>AND(#REF!,"AAAAAA1ljbU=")</f>
        <v>#REF!</v>
      </c>
      <c r="GA68" s="34" t="e">
        <f>AND(#REF!,"AAAAAA1ljbY=")</f>
        <v>#REF!</v>
      </c>
      <c r="GB68" s="34" t="e">
        <f>AND(#REF!,"AAAAAA1ljbc=")</f>
        <v>#REF!</v>
      </c>
      <c r="GC68" s="34" t="e">
        <f>AND(#REF!,"AAAAAA1ljbg=")</f>
        <v>#REF!</v>
      </c>
      <c r="GD68" s="34" t="e">
        <f>AND(#REF!,"AAAAAA1ljbk=")</f>
        <v>#REF!</v>
      </c>
      <c r="GE68" s="34" t="e">
        <f>AND(#REF!,"AAAAAA1ljbo=")</f>
        <v>#REF!</v>
      </c>
      <c r="GF68" s="34" t="e">
        <f>AND(#REF!,"AAAAAA1ljbs=")</f>
        <v>#REF!</v>
      </c>
      <c r="GG68" s="34" t="e">
        <f>AND(#REF!,"AAAAAA1ljbw=")</f>
        <v>#REF!</v>
      </c>
      <c r="GH68" s="34" t="e">
        <f>AND(#REF!,"AAAAAA1ljb0=")</f>
        <v>#REF!</v>
      </c>
      <c r="GI68" s="34" t="e">
        <f>AND(#REF!,"AAAAAA1ljb4=")</f>
        <v>#REF!</v>
      </c>
      <c r="GJ68" s="34" t="e">
        <f>AND(#REF!,"AAAAAA1ljb8=")</f>
        <v>#REF!</v>
      </c>
      <c r="GK68" s="34" t="e">
        <f>AND(#REF!,"AAAAAA1ljcA=")</f>
        <v>#REF!</v>
      </c>
      <c r="GL68" s="34" t="e">
        <f>AND(#REF!,"AAAAAA1ljcE=")</f>
        <v>#REF!</v>
      </c>
      <c r="GM68" s="34" t="e">
        <f>AND(#REF!,"AAAAAA1ljcI=")</f>
        <v>#REF!</v>
      </c>
      <c r="GN68" s="34" t="e">
        <f>AND(#REF!,"AAAAAA1ljcM=")</f>
        <v>#REF!</v>
      </c>
      <c r="GO68" s="34" t="e">
        <f>AND(#REF!,"AAAAAA1ljcQ=")</f>
        <v>#REF!</v>
      </c>
      <c r="GP68" s="34" t="e">
        <f>AND(#REF!,"AAAAAA1ljcU=")</f>
        <v>#REF!</v>
      </c>
      <c r="GQ68" s="34" t="e">
        <f>AND(#REF!,"AAAAAA1ljcY=")</f>
        <v>#REF!</v>
      </c>
      <c r="GR68" s="34" t="e">
        <f>AND(#REF!,"AAAAAA1ljcc=")</f>
        <v>#REF!</v>
      </c>
      <c r="GS68" s="34" t="e">
        <f>AND(#REF!,"AAAAAA1ljcg=")</f>
        <v>#REF!</v>
      </c>
      <c r="GT68" s="34" t="e">
        <f>AND(#REF!,"AAAAAA1ljck=")</f>
        <v>#REF!</v>
      </c>
      <c r="GU68" s="34" t="e">
        <f>AND(#REF!,"AAAAAA1ljco=")</f>
        <v>#REF!</v>
      </c>
      <c r="GV68" s="34" t="e">
        <f>AND(#REF!,"AAAAAA1ljcs=")</f>
        <v>#REF!</v>
      </c>
      <c r="GW68" s="34" t="e">
        <f>AND(#REF!,"AAAAAA1ljcw=")</f>
        <v>#REF!</v>
      </c>
      <c r="GX68" s="34" t="e">
        <f>AND(#REF!,"AAAAAA1ljc0=")</f>
        <v>#REF!</v>
      </c>
      <c r="GY68" s="34" t="e">
        <f>AND(#REF!,"AAAAAA1ljc4=")</f>
        <v>#REF!</v>
      </c>
      <c r="GZ68" s="34" t="e">
        <f>AND(#REF!,"AAAAAA1ljc8=")</f>
        <v>#REF!</v>
      </c>
      <c r="HA68" s="34" t="e">
        <f>AND(#REF!,"AAAAAA1ljdA=")</f>
        <v>#REF!</v>
      </c>
      <c r="HB68" s="34" t="e">
        <f>AND(#REF!,"AAAAAA1ljdE=")</f>
        <v>#REF!</v>
      </c>
      <c r="HC68" s="34" t="e">
        <f>AND(#REF!,"AAAAAA1ljdI=")</f>
        <v>#REF!</v>
      </c>
      <c r="HD68" s="34" t="e">
        <f>AND(#REF!,"AAAAAA1ljdM=")</f>
        <v>#REF!</v>
      </c>
      <c r="HE68" s="34" t="e">
        <f>AND(#REF!,"AAAAAA1ljdQ=")</f>
        <v>#REF!</v>
      </c>
      <c r="HF68" s="34" t="e">
        <f>AND(#REF!,"AAAAAA1ljdU=")</f>
        <v>#REF!</v>
      </c>
      <c r="HG68" s="34" t="e">
        <f>AND(#REF!,"AAAAAA1ljdY=")</f>
        <v>#REF!</v>
      </c>
      <c r="HH68" s="34" t="e">
        <f>AND(#REF!,"AAAAAA1ljdc=")</f>
        <v>#REF!</v>
      </c>
      <c r="HI68" s="34" t="e">
        <f>AND(#REF!,"AAAAAA1ljdg=")</f>
        <v>#REF!</v>
      </c>
      <c r="HJ68" s="34" t="e">
        <f>AND(#REF!,"AAAAAA1ljdk=")</f>
        <v>#REF!</v>
      </c>
      <c r="HK68" s="34" t="e">
        <f>AND(#REF!,"AAAAAA1ljdo=")</f>
        <v>#REF!</v>
      </c>
      <c r="HL68" s="34" t="e">
        <f>AND(#REF!,"AAAAAA1ljds=")</f>
        <v>#REF!</v>
      </c>
      <c r="HM68" s="34" t="e">
        <f>AND(#REF!,"AAAAAA1ljdw=")</f>
        <v>#REF!</v>
      </c>
      <c r="HN68" s="34" t="e">
        <f>AND(#REF!,"AAAAAA1ljd0=")</f>
        <v>#REF!</v>
      </c>
      <c r="HO68" s="34" t="e">
        <f>AND(#REF!,"AAAAAA1ljd4=")</f>
        <v>#REF!</v>
      </c>
      <c r="HP68" s="34" t="e">
        <f>AND(#REF!,"AAAAAA1ljd8=")</f>
        <v>#REF!</v>
      </c>
      <c r="HQ68" s="34" t="e">
        <f>AND(#REF!,"AAAAAA1ljeA=")</f>
        <v>#REF!</v>
      </c>
      <c r="HR68" s="34" t="e">
        <f>AND(#REF!,"AAAAAA1ljeE=")</f>
        <v>#REF!</v>
      </c>
      <c r="HS68" s="34" t="e">
        <f>AND(#REF!,"AAAAAA1ljeI=")</f>
        <v>#REF!</v>
      </c>
      <c r="HT68" s="34" t="e">
        <f>AND(#REF!,"AAAAAA1ljeM=")</f>
        <v>#REF!</v>
      </c>
      <c r="HU68" s="34" t="e">
        <f>AND(#REF!,"AAAAAA1ljeQ=")</f>
        <v>#REF!</v>
      </c>
      <c r="HV68" s="34" t="e">
        <f>AND(#REF!,"AAAAAA1ljeU=")</f>
        <v>#REF!</v>
      </c>
      <c r="HW68" s="34" t="e">
        <f>AND(#REF!,"AAAAAA1ljeY=")</f>
        <v>#REF!</v>
      </c>
      <c r="HX68" s="34" t="e">
        <f>AND(#REF!,"AAAAAA1ljec=")</f>
        <v>#REF!</v>
      </c>
      <c r="HY68" s="34" t="e">
        <f>AND(#REF!,"AAAAAA1ljeg=")</f>
        <v>#REF!</v>
      </c>
      <c r="HZ68" s="34" t="e">
        <f>AND(#REF!,"AAAAAA1ljek=")</f>
        <v>#REF!</v>
      </c>
      <c r="IA68" s="34" t="e">
        <f>AND(#REF!,"AAAAAA1ljeo=")</f>
        <v>#REF!</v>
      </c>
      <c r="IB68" s="34" t="e">
        <f>AND(#REF!,"AAAAAA1ljes=")</f>
        <v>#REF!</v>
      </c>
      <c r="IC68" s="34" t="e">
        <f>AND(#REF!,"AAAAAA1ljew=")</f>
        <v>#REF!</v>
      </c>
      <c r="ID68" s="34" t="e">
        <f>AND(#REF!,"AAAAAA1lje0=")</f>
        <v>#REF!</v>
      </c>
      <c r="IE68" s="34" t="e">
        <f>AND(#REF!,"AAAAAA1lje4=")</f>
        <v>#REF!</v>
      </c>
      <c r="IF68" s="34" t="e">
        <f>AND(#REF!,"AAAAAA1lje8=")</f>
        <v>#REF!</v>
      </c>
      <c r="IG68" s="34" t="e">
        <f>AND(#REF!,"AAAAAA1ljfA=")</f>
        <v>#REF!</v>
      </c>
      <c r="IH68" s="34" t="e">
        <f>AND(#REF!,"AAAAAA1ljfE=")</f>
        <v>#REF!</v>
      </c>
      <c r="II68" s="34" t="e">
        <f>AND(#REF!,"AAAAAA1ljfI=")</f>
        <v>#REF!</v>
      </c>
      <c r="IJ68" s="34" t="e">
        <f>AND(#REF!,"AAAAAA1ljfM=")</f>
        <v>#REF!</v>
      </c>
      <c r="IK68" s="34" t="e">
        <f>AND(#REF!,"AAAAAA1ljfQ=")</f>
        <v>#REF!</v>
      </c>
      <c r="IL68" s="34" t="e">
        <f>AND(#REF!,"AAAAAA1ljfU=")</f>
        <v>#REF!</v>
      </c>
      <c r="IM68" s="34" t="e">
        <f>AND(#REF!,"AAAAAA1ljfY=")</f>
        <v>#REF!</v>
      </c>
      <c r="IN68" s="34" t="e">
        <f>IF(#REF!,"AAAAAA1ljfc=",0)</f>
        <v>#REF!</v>
      </c>
      <c r="IO68" s="34" t="e">
        <f>AND(#REF!,"AAAAAA1ljfg=")</f>
        <v>#REF!</v>
      </c>
      <c r="IP68" s="34" t="e">
        <f>AND(#REF!,"AAAAAA1ljfk=")</f>
        <v>#REF!</v>
      </c>
      <c r="IQ68" s="34" t="e">
        <f>AND(#REF!,"AAAAAA1ljfo=")</f>
        <v>#REF!</v>
      </c>
      <c r="IR68" s="34" t="e">
        <f>AND(#REF!,"AAAAAA1ljfs=")</f>
        <v>#REF!</v>
      </c>
      <c r="IS68" s="34" t="e">
        <f>AND(#REF!,"AAAAAA1ljfw=")</f>
        <v>#REF!</v>
      </c>
      <c r="IT68" s="34" t="e">
        <f>AND(#REF!,"AAAAAA1ljf0=")</f>
        <v>#REF!</v>
      </c>
      <c r="IU68" s="34" t="e">
        <f>AND(#REF!,"AAAAAA1ljf4=")</f>
        <v>#REF!</v>
      </c>
      <c r="IV68" s="34" t="e">
        <f>AND(#REF!,"AAAAAA1ljf8=")</f>
        <v>#REF!</v>
      </c>
    </row>
    <row r="69" spans="1:256" ht="12.75" customHeight="1" x14ac:dyDescent="0.2">
      <c r="A69" s="34" t="e">
        <f>AND(#REF!,"AAAAAHx//wA=")</f>
        <v>#REF!</v>
      </c>
      <c r="B69" s="34" t="e">
        <f>AND(#REF!,"AAAAAHx//wE=")</f>
        <v>#REF!</v>
      </c>
      <c r="C69" s="34" t="e">
        <f>AND(#REF!,"AAAAAHx//wI=")</f>
        <v>#REF!</v>
      </c>
      <c r="D69" s="34" t="e">
        <f>AND(#REF!,"AAAAAHx//wM=")</f>
        <v>#REF!</v>
      </c>
      <c r="E69" s="34" t="e">
        <f>AND(#REF!,"AAAAAHx//wQ=")</f>
        <v>#REF!</v>
      </c>
      <c r="F69" s="34" t="e">
        <f>AND(#REF!,"AAAAAHx//wU=")</f>
        <v>#REF!</v>
      </c>
      <c r="G69" s="34" t="e">
        <f>AND(#REF!,"AAAAAHx//wY=")</f>
        <v>#REF!</v>
      </c>
      <c r="H69" s="34" t="e">
        <f>AND(#REF!,"AAAAAHx//wc=")</f>
        <v>#REF!</v>
      </c>
      <c r="I69" s="34" t="e">
        <f>AND(#REF!,"AAAAAHx//wg=")</f>
        <v>#REF!</v>
      </c>
      <c r="J69" s="34" t="e">
        <f>AND(#REF!,"AAAAAHx//wk=")</f>
        <v>#REF!</v>
      </c>
      <c r="K69" s="34" t="e">
        <f>AND(#REF!,"AAAAAHx//wo=")</f>
        <v>#REF!</v>
      </c>
      <c r="L69" s="34" t="e">
        <f>AND(#REF!,"AAAAAHx//ws=")</f>
        <v>#REF!</v>
      </c>
      <c r="M69" s="34" t="e">
        <f>AND(#REF!,"AAAAAHx//ww=")</f>
        <v>#REF!</v>
      </c>
      <c r="N69" s="34" t="e">
        <f>AND(#REF!,"AAAAAHx//w0=")</f>
        <v>#REF!</v>
      </c>
      <c r="O69" s="34" t="e">
        <f>AND(#REF!,"AAAAAHx//w4=")</f>
        <v>#REF!</v>
      </c>
      <c r="P69" s="34" t="e">
        <f>AND(#REF!,"AAAAAHx//w8=")</f>
        <v>#REF!</v>
      </c>
      <c r="Q69" s="34" t="e">
        <f>AND(#REF!,"AAAAAHx//xA=")</f>
        <v>#REF!</v>
      </c>
      <c r="R69" s="34" t="e">
        <f>AND(#REF!,"AAAAAHx//xE=")</f>
        <v>#REF!</v>
      </c>
      <c r="S69" s="34" t="e">
        <f>AND(#REF!,"AAAAAHx//xI=")</f>
        <v>#REF!</v>
      </c>
      <c r="T69" s="34" t="e">
        <f>AND(#REF!,"AAAAAHx//xM=")</f>
        <v>#REF!</v>
      </c>
      <c r="U69" s="34" t="e">
        <f>AND(#REF!,"AAAAAHx//xQ=")</f>
        <v>#REF!</v>
      </c>
      <c r="V69" s="34" t="e">
        <f>AND(#REF!,"AAAAAHx//xU=")</f>
        <v>#REF!</v>
      </c>
      <c r="W69" s="34" t="e">
        <f>AND(#REF!,"AAAAAHx//xY=")</f>
        <v>#REF!</v>
      </c>
      <c r="X69" s="34" t="e">
        <f>AND(#REF!,"AAAAAHx//xc=")</f>
        <v>#REF!</v>
      </c>
      <c r="Y69" s="34" t="e">
        <f>AND(#REF!,"AAAAAHx//xg=")</f>
        <v>#REF!</v>
      </c>
      <c r="Z69" s="34" t="e">
        <f>AND(#REF!,"AAAAAHx//xk=")</f>
        <v>#REF!</v>
      </c>
      <c r="AA69" s="34" t="e">
        <f>AND(#REF!,"AAAAAHx//xo=")</f>
        <v>#REF!</v>
      </c>
      <c r="AB69" s="34" t="e">
        <f>AND(#REF!,"AAAAAHx//xs=")</f>
        <v>#REF!</v>
      </c>
      <c r="AC69" s="34" t="e">
        <f>AND(#REF!,"AAAAAHx//xw=")</f>
        <v>#REF!</v>
      </c>
      <c r="AD69" s="34" t="e">
        <f>AND(#REF!,"AAAAAHx//x0=")</f>
        <v>#REF!</v>
      </c>
      <c r="AE69" s="34" t="e">
        <f>AND(#REF!,"AAAAAHx//x4=")</f>
        <v>#REF!</v>
      </c>
      <c r="AF69" s="34" t="e">
        <f>AND(#REF!,"AAAAAHx//x8=")</f>
        <v>#REF!</v>
      </c>
      <c r="AG69" s="34" t="e">
        <f>AND(#REF!,"AAAAAHx//yA=")</f>
        <v>#REF!</v>
      </c>
      <c r="AH69" s="34" t="e">
        <f>AND(#REF!,"AAAAAHx//yE=")</f>
        <v>#REF!</v>
      </c>
      <c r="AI69" s="34" t="e">
        <f>AND(#REF!,"AAAAAHx//yI=")</f>
        <v>#REF!</v>
      </c>
      <c r="AJ69" s="34" t="e">
        <f>AND(#REF!,"AAAAAHx//yM=")</f>
        <v>#REF!</v>
      </c>
      <c r="AK69" s="34" t="e">
        <f>AND(#REF!,"AAAAAHx//yQ=")</f>
        <v>#REF!</v>
      </c>
      <c r="AL69" s="34" t="e">
        <f>AND(#REF!,"AAAAAHx//yU=")</f>
        <v>#REF!</v>
      </c>
      <c r="AM69" s="34" t="e">
        <f>AND(#REF!,"AAAAAHx//yY=")</f>
        <v>#REF!</v>
      </c>
      <c r="AN69" s="34" t="e">
        <f>AND(#REF!,"AAAAAHx//yc=")</f>
        <v>#REF!</v>
      </c>
      <c r="AO69" s="34" t="e">
        <f>AND(#REF!,"AAAAAHx//yg=")</f>
        <v>#REF!</v>
      </c>
      <c r="AP69" s="34" t="e">
        <f>AND(#REF!,"AAAAAHx//yk=")</f>
        <v>#REF!</v>
      </c>
      <c r="AQ69" s="34" t="e">
        <f>AND(#REF!,"AAAAAHx//yo=")</f>
        <v>#REF!</v>
      </c>
      <c r="AR69" s="34" t="e">
        <f>AND(#REF!,"AAAAAHx//ys=")</f>
        <v>#REF!</v>
      </c>
      <c r="AS69" s="34" t="e">
        <f>AND(#REF!,"AAAAAHx//yw=")</f>
        <v>#REF!</v>
      </c>
      <c r="AT69" s="34" t="e">
        <f>AND(#REF!,"AAAAAHx//y0=")</f>
        <v>#REF!</v>
      </c>
      <c r="AU69" s="34" t="e">
        <f>AND(#REF!,"AAAAAHx//y4=")</f>
        <v>#REF!</v>
      </c>
      <c r="AV69" s="34" t="e">
        <f>AND(#REF!,"AAAAAHx//y8=")</f>
        <v>#REF!</v>
      </c>
      <c r="AW69" s="34" t="e">
        <f>AND(#REF!,"AAAAAHx//zA=")</f>
        <v>#REF!</v>
      </c>
      <c r="AX69" s="34" t="e">
        <f>AND(#REF!,"AAAAAHx//zE=")</f>
        <v>#REF!</v>
      </c>
      <c r="AY69" s="34" t="e">
        <f>AND(#REF!,"AAAAAHx//zI=")</f>
        <v>#REF!</v>
      </c>
      <c r="AZ69" s="34" t="e">
        <f>AND(#REF!,"AAAAAHx//zM=")</f>
        <v>#REF!</v>
      </c>
      <c r="BA69" s="34" t="e">
        <f>AND(#REF!,"AAAAAHx//zQ=")</f>
        <v>#REF!</v>
      </c>
      <c r="BB69" s="34" t="e">
        <f>AND(#REF!,"AAAAAHx//zU=")</f>
        <v>#REF!</v>
      </c>
      <c r="BC69" s="34" t="e">
        <f>AND(#REF!,"AAAAAHx//zY=")</f>
        <v>#REF!</v>
      </c>
      <c r="BD69" s="34" t="e">
        <f>AND(#REF!,"AAAAAHx//zc=")</f>
        <v>#REF!</v>
      </c>
      <c r="BE69" s="34" t="e">
        <f>AND(#REF!,"AAAAAHx//zg=")</f>
        <v>#REF!</v>
      </c>
      <c r="BF69" s="34" t="e">
        <f>AND(#REF!,"AAAAAHx//zk=")</f>
        <v>#REF!</v>
      </c>
      <c r="BG69" s="34" t="e">
        <f>AND(#REF!,"AAAAAHx//zo=")</f>
        <v>#REF!</v>
      </c>
      <c r="BH69" s="34" t="e">
        <f>AND(#REF!,"AAAAAHx//zs=")</f>
        <v>#REF!</v>
      </c>
      <c r="BI69" s="34" t="e">
        <f>AND(#REF!,"AAAAAHx//zw=")</f>
        <v>#REF!</v>
      </c>
      <c r="BJ69" s="34" t="e">
        <f>AND(#REF!,"AAAAAHx//z0=")</f>
        <v>#REF!</v>
      </c>
      <c r="BK69" s="34" t="e">
        <f>AND(#REF!,"AAAAAHx//z4=")</f>
        <v>#REF!</v>
      </c>
      <c r="BL69" s="34" t="e">
        <f>AND(#REF!,"AAAAAHx//z8=")</f>
        <v>#REF!</v>
      </c>
      <c r="BM69" s="34" t="e">
        <f>IF(#REF!,"AAAAAHx//0A=",0)</f>
        <v>#REF!</v>
      </c>
      <c r="BN69" s="34" t="e">
        <f>AND(#REF!,"AAAAAHx//0E=")</f>
        <v>#REF!</v>
      </c>
      <c r="BO69" s="34" t="e">
        <f>AND(#REF!,"AAAAAHx//0I=")</f>
        <v>#REF!</v>
      </c>
      <c r="BP69" s="34" t="e">
        <f>AND(#REF!,"AAAAAHx//0M=")</f>
        <v>#REF!</v>
      </c>
      <c r="BQ69" s="34" t="e">
        <f>AND(#REF!,"AAAAAHx//0Q=")</f>
        <v>#REF!</v>
      </c>
      <c r="BR69" s="34" t="e">
        <f>AND(#REF!,"AAAAAHx//0U=")</f>
        <v>#REF!</v>
      </c>
      <c r="BS69" s="34" t="e">
        <f>AND(#REF!,"AAAAAHx//0Y=")</f>
        <v>#REF!</v>
      </c>
      <c r="BT69" s="34" t="e">
        <f>AND(#REF!,"AAAAAHx//0c=")</f>
        <v>#REF!</v>
      </c>
      <c r="BU69" s="34" t="e">
        <f>AND(#REF!,"AAAAAHx//0g=")</f>
        <v>#REF!</v>
      </c>
      <c r="BV69" s="34" t="e">
        <f>AND(#REF!,"AAAAAHx//0k=")</f>
        <v>#REF!</v>
      </c>
      <c r="BW69" s="34" t="e">
        <f>AND(#REF!,"AAAAAHx//0o=")</f>
        <v>#REF!</v>
      </c>
      <c r="BX69" s="34" t="e">
        <f>AND(#REF!,"AAAAAHx//0s=")</f>
        <v>#REF!</v>
      </c>
      <c r="BY69" s="34" t="e">
        <f>AND(#REF!,"AAAAAHx//0w=")</f>
        <v>#REF!</v>
      </c>
      <c r="BZ69" s="34" t="e">
        <f>AND(#REF!,"AAAAAHx//00=")</f>
        <v>#REF!</v>
      </c>
      <c r="CA69" s="34" t="e">
        <f>AND(#REF!,"AAAAAHx//04=")</f>
        <v>#REF!</v>
      </c>
      <c r="CB69" s="34" t="e">
        <f>AND(#REF!,"AAAAAHx//08=")</f>
        <v>#REF!</v>
      </c>
      <c r="CC69" s="34" t="e">
        <f>AND(#REF!,"AAAAAHx//1A=")</f>
        <v>#REF!</v>
      </c>
      <c r="CD69" s="34" t="e">
        <f>AND(#REF!,"AAAAAHx//1E=")</f>
        <v>#REF!</v>
      </c>
      <c r="CE69" s="34" t="e">
        <f>AND(#REF!,"AAAAAHx//1I=")</f>
        <v>#REF!</v>
      </c>
      <c r="CF69" s="34" t="e">
        <f>AND(#REF!,"AAAAAHx//1M=")</f>
        <v>#REF!</v>
      </c>
      <c r="CG69" s="34" t="e">
        <f>AND(#REF!,"AAAAAHx//1Q=")</f>
        <v>#REF!</v>
      </c>
      <c r="CH69" s="34" t="e">
        <f>AND(#REF!,"AAAAAHx//1U=")</f>
        <v>#REF!</v>
      </c>
      <c r="CI69" s="34" t="e">
        <f>AND(#REF!,"AAAAAHx//1Y=")</f>
        <v>#REF!</v>
      </c>
      <c r="CJ69" s="34" t="e">
        <f>AND(#REF!,"AAAAAHx//1c=")</f>
        <v>#REF!</v>
      </c>
      <c r="CK69" s="34" t="e">
        <f>AND(#REF!,"AAAAAHx//1g=")</f>
        <v>#REF!</v>
      </c>
      <c r="CL69" s="34" t="e">
        <f>AND(#REF!,"AAAAAHx//1k=")</f>
        <v>#REF!</v>
      </c>
      <c r="CM69" s="34" t="e">
        <f>AND(#REF!,"AAAAAHx//1o=")</f>
        <v>#REF!</v>
      </c>
      <c r="CN69" s="34" t="e">
        <f>AND(#REF!,"AAAAAHx//1s=")</f>
        <v>#REF!</v>
      </c>
      <c r="CO69" s="34" t="e">
        <f>AND(#REF!,"AAAAAHx//1w=")</f>
        <v>#REF!</v>
      </c>
      <c r="CP69" s="34" t="e">
        <f>AND(#REF!,"AAAAAHx//10=")</f>
        <v>#REF!</v>
      </c>
      <c r="CQ69" s="34" t="e">
        <f>AND(#REF!,"AAAAAHx//14=")</f>
        <v>#REF!</v>
      </c>
      <c r="CR69" s="34" t="e">
        <f>AND(#REF!,"AAAAAHx//18=")</f>
        <v>#REF!</v>
      </c>
      <c r="CS69" s="34" t="e">
        <f>AND(#REF!,"AAAAAHx//2A=")</f>
        <v>#REF!</v>
      </c>
      <c r="CT69" s="34" t="e">
        <f>AND(#REF!,"AAAAAHx//2E=")</f>
        <v>#REF!</v>
      </c>
      <c r="CU69" s="34" t="e">
        <f>AND(#REF!,"AAAAAHx//2I=")</f>
        <v>#REF!</v>
      </c>
      <c r="CV69" s="34" t="e">
        <f>AND(#REF!,"AAAAAHx//2M=")</f>
        <v>#REF!</v>
      </c>
      <c r="CW69" s="34" t="e">
        <f>AND(#REF!,"AAAAAHx//2Q=")</f>
        <v>#REF!</v>
      </c>
      <c r="CX69" s="34" t="e">
        <f>AND(#REF!,"AAAAAHx//2U=")</f>
        <v>#REF!</v>
      </c>
      <c r="CY69" s="34" t="e">
        <f>AND(#REF!,"AAAAAHx//2Y=")</f>
        <v>#REF!</v>
      </c>
      <c r="CZ69" s="34" t="e">
        <f>AND(#REF!,"AAAAAHx//2c=")</f>
        <v>#REF!</v>
      </c>
      <c r="DA69" s="34" t="e">
        <f>AND(#REF!,"AAAAAHx//2g=")</f>
        <v>#REF!</v>
      </c>
      <c r="DB69" s="34" t="e">
        <f>AND(#REF!,"AAAAAHx//2k=")</f>
        <v>#REF!</v>
      </c>
      <c r="DC69" s="34" t="e">
        <f>AND(#REF!,"AAAAAHx//2o=")</f>
        <v>#REF!</v>
      </c>
      <c r="DD69" s="34" t="e">
        <f>AND(#REF!,"AAAAAHx//2s=")</f>
        <v>#REF!</v>
      </c>
      <c r="DE69" s="34" t="e">
        <f>AND(#REF!,"AAAAAHx//2w=")</f>
        <v>#REF!</v>
      </c>
      <c r="DF69" s="34" t="e">
        <f>AND(#REF!,"AAAAAHx//20=")</f>
        <v>#REF!</v>
      </c>
      <c r="DG69" s="34" t="e">
        <f>AND(#REF!,"AAAAAHx//24=")</f>
        <v>#REF!</v>
      </c>
      <c r="DH69" s="34" t="e">
        <f>AND(#REF!,"AAAAAHx//28=")</f>
        <v>#REF!</v>
      </c>
      <c r="DI69" s="34" t="e">
        <f>AND(#REF!,"AAAAAHx//3A=")</f>
        <v>#REF!</v>
      </c>
      <c r="DJ69" s="34" t="e">
        <f>AND(#REF!,"AAAAAHx//3E=")</f>
        <v>#REF!</v>
      </c>
      <c r="DK69" s="34" t="e">
        <f>AND(#REF!,"AAAAAHx//3I=")</f>
        <v>#REF!</v>
      </c>
      <c r="DL69" s="34" t="e">
        <f>AND(#REF!,"AAAAAHx//3M=")</f>
        <v>#REF!</v>
      </c>
      <c r="DM69" s="34" t="e">
        <f>AND(#REF!,"AAAAAHx//3Q=")</f>
        <v>#REF!</v>
      </c>
      <c r="DN69" s="34" t="e">
        <f>AND(#REF!,"AAAAAHx//3U=")</f>
        <v>#REF!</v>
      </c>
      <c r="DO69" s="34" t="e">
        <f>AND(#REF!,"AAAAAHx//3Y=")</f>
        <v>#REF!</v>
      </c>
      <c r="DP69" s="34" t="e">
        <f>AND(#REF!,"AAAAAHx//3c=")</f>
        <v>#REF!</v>
      </c>
      <c r="DQ69" s="34" t="e">
        <f>AND(#REF!,"AAAAAHx//3g=")</f>
        <v>#REF!</v>
      </c>
      <c r="DR69" s="34" t="e">
        <f>AND(#REF!,"AAAAAHx//3k=")</f>
        <v>#REF!</v>
      </c>
      <c r="DS69" s="34" t="e">
        <f>AND(#REF!,"AAAAAHx//3o=")</f>
        <v>#REF!</v>
      </c>
      <c r="DT69" s="34" t="e">
        <f>AND(#REF!,"AAAAAHx//3s=")</f>
        <v>#REF!</v>
      </c>
      <c r="DU69" s="34" t="e">
        <f>AND(#REF!,"AAAAAHx//3w=")</f>
        <v>#REF!</v>
      </c>
      <c r="DV69" s="34" t="e">
        <f>AND(#REF!,"AAAAAHx//30=")</f>
        <v>#REF!</v>
      </c>
      <c r="DW69" s="34" t="e">
        <f>AND(#REF!,"AAAAAHx//34=")</f>
        <v>#REF!</v>
      </c>
      <c r="DX69" s="34" t="e">
        <f>AND(#REF!,"AAAAAHx//38=")</f>
        <v>#REF!</v>
      </c>
      <c r="DY69" s="34" t="e">
        <f>AND(#REF!,"AAAAAHx//4A=")</f>
        <v>#REF!</v>
      </c>
      <c r="DZ69" s="34" t="e">
        <f>AND(#REF!,"AAAAAHx//4E=")</f>
        <v>#REF!</v>
      </c>
      <c r="EA69" s="34" t="e">
        <f>AND(#REF!,"AAAAAHx//4I=")</f>
        <v>#REF!</v>
      </c>
      <c r="EB69" s="34" t="e">
        <f>AND(#REF!,"AAAAAHx//4M=")</f>
        <v>#REF!</v>
      </c>
      <c r="EC69" s="34" t="e">
        <f>AND(#REF!,"AAAAAHx//4Q=")</f>
        <v>#REF!</v>
      </c>
      <c r="ED69" s="34" t="e">
        <f>AND(#REF!,"AAAAAHx//4U=")</f>
        <v>#REF!</v>
      </c>
      <c r="EE69" s="34" t="e">
        <f>AND(#REF!,"AAAAAHx//4Y=")</f>
        <v>#REF!</v>
      </c>
      <c r="EF69" s="34" t="e">
        <f>AND(#REF!,"AAAAAHx//4c=")</f>
        <v>#REF!</v>
      </c>
      <c r="EG69" s="34" t="e">
        <f>AND(#REF!,"AAAAAHx//4g=")</f>
        <v>#REF!</v>
      </c>
      <c r="EH69" s="34" t="e">
        <f>IF(#REF!,"AAAAAHx//4k=",0)</f>
        <v>#REF!</v>
      </c>
      <c r="EI69" s="34" t="e">
        <f>AND(#REF!,"AAAAAHx//4o=")</f>
        <v>#REF!</v>
      </c>
      <c r="EJ69" s="34" t="e">
        <f>AND(#REF!,"AAAAAHx//4s=")</f>
        <v>#REF!</v>
      </c>
      <c r="EK69" s="34" t="e">
        <f>AND(#REF!,"AAAAAHx//4w=")</f>
        <v>#REF!</v>
      </c>
      <c r="EL69" s="34" t="e">
        <f>AND(#REF!,"AAAAAHx//40=")</f>
        <v>#REF!</v>
      </c>
      <c r="EM69" s="34" t="e">
        <f>AND(#REF!,"AAAAAHx//44=")</f>
        <v>#REF!</v>
      </c>
      <c r="EN69" s="34" t="e">
        <f>AND(#REF!,"AAAAAHx//48=")</f>
        <v>#REF!</v>
      </c>
      <c r="EO69" s="34" t="e">
        <f>AND(#REF!,"AAAAAHx//5A=")</f>
        <v>#REF!</v>
      </c>
      <c r="EP69" s="34" t="e">
        <f>AND(#REF!,"AAAAAHx//5E=")</f>
        <v>#REF!</v>
      </c>
      <c r="EQ69" s="34" t="e">
        <f>AND(#REF!,"AAAAAHx//5I=")</f>
        <v>#REF!</v>
      </c>
      <c r="ER69" s="34" t="e">
        <f>AND(#REF!,"AAAAAHx//5M=")</f>
        <v>#REF!</v>
      </c>
      <c r="ES69" s="34" t="e">
        <f>AND(#REF!,"AAAAAHx//5Q=")</f>
        <v>#REF!</v>
      </c>
      <c r="ET69" s="34" t="e">
        <f>AND(#REF!,"AAAAAHx//5U=")</f>
        <v>#REF!</v>
      </c>
      <c r="EU69" s="34" t="e">
        <f>AND(#REF!,"AAAAAHx//5Y=")</f>
        <v>#REF!</v>
      </c>
      <c r="EV69" s="34" t="e">
        <f>AND(#REF!,"AAAAAHx//5c=")</f>
        <v>#REF!</v>
      </c>
      <c r="EW69" s="34" t="e">
        <f>AND(#REF!,"AAAAAHx//5g=")</f>
        <v>#REF!</v>
      </c>
      <c r="EX69" s="34" t="e">
        <f>AND(#REF!,"AAAAAHx//5k=")</f>
        <v>#REF!</v>
      </c>
      <c r="EY69" s="34" t="e">
        <f>AND(#REF!,"AAAAAHx//5o=")</f>
        <v>#REF!</v>
      </c>
      <c r="EZ69" s="34" t="e">
        <f>AND(#REF!,"AAAAAHx//5s=")</f>
        <v>#REF!</v>
      </c>
      <c r="FA69" s="34" t="e">
        <f>AND(#REF!,"AAAAAHx//5w=")</f>
        <v>#REF!</v>
      </c>
      <c r="FB69" s="34" t="e">
        <f>AND(#REF!,"AAAAAHx//50=")</f>
        <v>#REF!</v>
      </c>
      <c r="FC69" s="34" t="e">
        <f>AND(#REF!,"AAAAAHx//54=")</f>
        <v>#REF!</v>
      </c>
      <c r="FD69" s="34" t="e">
        <f>AND(#REF!,"AAAAAHx//58=")</f>
        <v>#REF!</v>
      </c>
      <c r="FE69" s="34" t="e">
        <f>AND(#REF!,"AAAAAHx//6A=")</f>
        <v>#REF!</v>
      </c>
      <c r="FF69" s="34" t="e">
        <f>AND(#REF!,"AAAAAHx//6E=")</f>
        <v>#REF!</v>
      </c>
      <c r="FG69" s="34" t="e">
        <f>AND(#REF!,"AAAAAHx//6I=")</f>
        <v>#REF!</v>
      </c>
      <c r="FH69" s="34" t="e">
        <f>AND(#REF!,"AAAAAHx//6M=")</f>
        <v>#REF!</v>
      </c>
      <c r="FI69" s="34" t="e">
        <f>AND(#REF!,"AAAAAHx//6Q=")</f>
        <v>#REF!</v>
      </c>
      <c r="FJ69" s="34" t="e">
        <f>AND(#REF!,"AAAAAHx//6U=")</f>
        <v>#REF!</v>
      </c>
      <c r="FK69" s="34" t="e">
        <f>AND(#REF!,"AAAAAHx//6Y=")</f>
        <v>#REF!</v>
      </c>
      <c r="FL69" s="34" t="e">
        <f>AND(#REF!,"AAAAAHx//6c=")</f>
        <v>#REF!</v>
      </c>
      <c r="FM69" s="34" t="e">
        <f>AND(#REF!,"AAAAAHx//6g=")</f>
        <v>#REF!</v>
      </c>
      <c r="FN69" s="34" t="e">
        <f>AND(#REF!,"AAAAAHx//6k=")</f>
        <v>#REF!</v>
      </c>
      <c r="FO69" s="34" t="e">
        <f>AND(#REF!,"AAAAAHx//6o=")</f>
        <v>#REF!</v>
      </c>
      <c r="FP69" s="34" t="e">
        <f>AND(#REF!,"AAAAAHx//6s=")</f>
        <v>#REF!</v>
      </c>
      <c r="FQ69" s="34" t="e">
        <f>AND(#REF!,"AAAAAHx//6w=")</f>
        <v>#REF!</v>
      </c>
      <c r="FR69" s="34" t="e">
        <f>AND(#REF!,"AAAAAHx//60=")</f>
        <v>#REF!</v>
      </c>
      <c r="FS69" s="34" t="e">
        <f>AND(#REF!,"AAAAAHx//64=")</f>
        <v>#REF!</v>
      </c>
      <c r="FT69" s="34" t="e">
        <f>AND(#REF!,"AAAAAHx//68=")</f>
        <v>#REF!</v>
      </c>
      <c r="FU69" s="34" t="e">
        <f>AND(#REF!,"AAAAAHx//7A=")</f>
        <v>#REF!</v>
      </c>
      <c r="FV69" s="34" t="e">
        <f>AND(#REF!,"AAAAAHx//7E=")</f>
        <v>#REF!</v>
      </c>
      <c r="FW69" s="34" t="e">
        <f>AND(#REF!,"AAAAAHx//7I=")</f>
        <v>#REF!</v>
      </c>
      <c r="FX69" s="34" t="e">
        <f>AND(#REF!,"AAAAAHx//7M=")</f>
        <v>#REF!</v>
      </c>
      <c r="FY69" s="34" t="e">
        <f>AND(#REF!,"AAAAAHx//7Q=")</f>
        <v>#REF!</v>
      </c>
      <c r="FZ69" s="34" t="e">
        <f>AND(#REF!,"AAAAAHx//7U=")</f>
        <v>#REF!</v>
      </c>
      <c r="GA69" s="34" t="e">
        <f>AND(#REF!,"AAAAAHx//7Y=")</f>
        <v>#REF!</v>
      </c>
      <c r="GB69" s="34" t="e">
        <f>AND(#REF!,"AAAAAHx//7c=")</f>
        <v>#REF!</v>
      </c>
      <c r="GC69" s="34" t="e">
        <f>AND(#REF!,"AAAAAHx//7g=")</f>
        <v>#REF!</v>
      </c>
      <c r="GD69" s="34" t="e">
        <f>AND(#REF!,"AAAAAHx//7k=")</f>
        <v>#REF!</v>
      </c>
      <c r="GE69" s="34" t="e">
        <f>AND(#REF!,"AAAAAHx//7o=")</f>
        <v>#REF!</v>
      </c>
      <c r="GF69" s="34" t="e">
        <f>AND(#REF!,"AAAAAHx//7s=")</f>
        <v>#REF!</v>
      </c>
      <c r="GG69" s="34" t="e">
        <f>AND(#REF!,"AAAAAHx//7w=")</f>
        <v>#REF!</v>
      </c>
      <c r="GH69" s="34" t="e">
        <f>AND(#REF!,"AAAAAHx//70=")</f>
        <v>#REF!</v>
      </c>
      <c r="GI69" s="34" t="e">
        <f>AND(#REF!,"AAAAAHx//74=")</f>
        <v>#REF!</v>
      </c>
      <c r="GJ69" s="34" t="e">
        <f>AND(#REF!,"AAAAAHx//78=")</f>
        <v>#REF!</v>
      </c>
      <c r="GK69" s="34" t="e">
        <f>AND(#REF!,"AAAAAHx//8A=")</f>
        <v>#REF!</v>
      </c>
      <c r="GL69" s="34" t="e">
        <f>AND(#REF!,"AAAAAHx//8E=")</f>
        <v>#REF!</v>
      </c>
      <c r="GM69" s="34" t="e">
        <f>AND(#REF!,"AAAAAHx//8I=")</f>
        <v>#REF!</v>
      </c>
      <c r="GN69" s="34" t="e">
        <f>AND(#REF!,"AAAAAHx//8M=")</f>
        <v>#REF!</v>
      </c>
      <c r="GO69" s="34" t="e">
        <f>AND(#REF!,"AAAAAHx//8Q=")</f>
        <v>#REF!</v>
      </c>
      <c r="GP69" s="34" t="e">
        <f>AND(#REF!,"AAAAAHx//8U=")</f>
        <v>#REF!</v>
      </c>
      <c r="GQ69" s="34" t="e">
        <f>AND(#REF!,"AAAAAHx//8Y=")</f>
        <v>#REF!</v>
      </c>
      <c r="GR69" s="34" t="e">
        <f>AND(#REF!,"AAAAAHx//8c=")</f>
        <v>#REF!</v>
      </c>
      <c r="GS69" s="34" t="e">
        <f>AND(#REF!,"AAAAAHx//8g=")</f>
        <v>#REF!</v>
      </c>
      <c r="GT69" s="34" t="e">
        <f>AND(#REF!,"AAAAAHx//8k=")</f>
        <v>#REF!</v>
      </c>
      <c r="GU69" s="34" t="e">
        <f>AND(#REF!,"AAAAAHx//8o=")</f>
        <v>#REF!</v>
      </c>
      <c r="GV69" s="34" t="e">
        <f>AND(#REF!,"AAAAAHx//8s=")</f>
        <v>#REF!</v>
      </c>
      <c r="GW69" s="34" t="e">
        <f>AND(#REF!,"AAAAAHx//8w=")</f>
        <v>#REF!</v>
      </c>
      <c r="GX69" s="34" t="e">
        <f>AND(#REF!,"AAAAAHx//80=")</f>
        <v>#REF!</v>
      </c>
      <c r="GY69" s="34" t="e">
        <f>AND(#REF!,"AAAAAHx//84=")</f>
        <v>#REF!</v>
      </c>
      <c r="GZ69" s="34" t="e">
        <f>AND(#REF!,"AAAAAHx//88=")</f>
        <v>#REF!</v>
      </c>
      <c r="HA69" s="34" t="e">
        <f>AND(#REF!,"AAAAAHx//9A=")</f>
        <v>#REF!</v>
      </c>
      <c r="HB69" s="34" t="e">
        <f>AND(#REF!,"AAAAAHx//9E=")</f>
        <v>#REF!</v>
      </c>
      <c r="HC69" s="34" t="e">
        <f>IF(#REF!,"AAAAAHx//9I=",0)</f>
        <v>#REF!</v>
      </c>
      <c r="HD69" s="34" t="e">
        <f>AND(#REF!,"AAAAAHx//9M=")</f>
        <v>#REF!</v>
      </c>
      <c r="HE69" s="34" t="e">
        <f>AND(#REF!,"AAAAAHx//9Q=")</f>
        <v>#REF!</v>
      </c>
      <c r="HF69" s="34" t="e">
        <f>AND(#REF!,"AAAAAHx//9U=")</f>
        <v>#REF!</v>
      </c>
      <c r="HG69" s="34" t="e">
        <f>AND(#REF!,"AAAAAHx//9Y=")</f>
        <v>#REF!</v>
      </c>
      <c r="HH69" s="34" t="e">
        <f>AND(#REF!,"AAAAAHx//9c=")</f>
        <v>#REF!</v>
      </c>
      <c r="HI69" s="34" t="e">
        <f>AND(#REF!,"AAAAAHx//9g=")</f>
        <v>#REF!</v>
      </c>
      <c r="HJ69" s="34" t="e">
        <f>AND(#REF!,"AAAAAHx//9k=")</f>
        <v>#REF!</v>
      </c>
      <c r="HK69" s="34" t="e">
        <f>AND(#REF!,"AAAAAHx//9o=")</f>
        <v>#REF!</v>
      </c>
      <c r="HL69" s="34" t="e">
        <f>AND(#REF!,"AAAAAHx//9s=")</f>
        <v>#REF!</v>
      </c>
      <c r="HM69" s="34" t="e">
        <f>AND(#REF!,"AAAAAHx//9w=")</f>
        <v>#REF!</v>
      </c>
      <c r="HN69" s="34" t="e">
        <f>AND(#REF!,"AAAAAHx//90=")</f>
        <v>#REF!</v>
      </c>
      <c r="HO69" s="34" t="e">
        <f>AND(#REF!,"AAAAAHx//94=")</f>
        <v>#REF!</v>
      </c>
      <c r="HP69" s="34" t="e">
        <f>AND(#REF!,"AAAAAHx//98=")</f>
        <v>#REF!</v>
      </c>
      <c r="HQ69" s="34" t="e">
        <f>AND(#REF!,"AAAAAHx//+A=")</f>
        <v>#REF!</v>
      </c>
      <c r="HR69" s="34" t="e">
        <f>AND(#REF!,"AAAAAHx//+E=")</f>
        <v>#REF!</v>
      </c>
      <c r="HS69" s="34" t="e">
        <f>AND(#REF!,"AAAAAHx//+I=")</f>
        <v>#REF!</v>
      </c>
      <c r="HT69" s="34" t="e">
        <f>AND(#REF!,"AAAAAHx//+M=")</f>
        <v>#REF!</v>
      </c>
      <c r="HU69" s="34" t="e">
        <f>AND(#REF!,"AAAAAHx//+Q=")</f>
        <v>#REF!</v>
      </c>
      <c r="HV69" s="34" t="e">
        <f>AND(#REF!,"AAAAAHx//+U=")</f>
        <v>#REF!</v>
      </c>
      <c r="HW69" s="34" t="e">
        <f>AND(#REF!,"AAAAAHx//+Y=")</f>
        <v>#REF!</v>
      </c>
      <c r="HX69" s="34" t="e">
        <f>AND(#REF!,"AAAAAHx//+c=")</f>
        <v>#REF!</v>
      </c>
      <c r="HY69" s="34" t="e">
        <f>AND(#REF!,"AAAAAHx//+g=")</f>
        <v>#REF!</v>
      </c>
      <c r="HZ69" s="34" t="e">
        <f>AND(#REF!,"AAAAAHx//+k=")</f>
        <v>#REF!</v>
      </c>
      <c r="IA69" s="34" t="e">
        <f>AND(#REF!,"AAAAAHx//+o=")</f>
        <v>#REF!</v>
      </c>
      <c r="IB69" s="34" t="e">
        <f>AND(#REF!,"AAAAAHx//+s=")</f>
        <v>#REF!</v>
      </c>
      <c r="IC69" s="34" t="e">
        <f>AND(#REF!,"AAAAAHx//+w=")</f>
        <v>#REF!</v>
      </c>
      <c r="ID69" s="34" t="e">
        <f>AND(#REF!,"AAAAAHx//+0=")</f>
        <v>#REF!</v>
      </c>
      <c r="IE69" s="34" t="e">
        <f>AND(#REF!,"AAAAAHx//+4=")</f>
        <v>#REF!</v>
      </c>
      <c r="IF69" s="34" t="e">
        <f>AND(#REF!,"AAAAAHx//+8=")</f>
        <v>#REF!</v>
      </c>
      <c r="IG69" s="34" t="e">
        <f>AND(#REF!,"AAAAAHx///A=")</f>
        <v>#REF!</v>
      </c>
      <c r="IH69" s="34" t="e">
        <f>AND(#REF!,"AAAAAHx///E=")</f>
        <v>#REF!</v>
      </c>
      <c r="II69" s="34" t="e">
        <f>AND(#REF!,"AAAAAHx///I=")</f>
        <v>#REF!</v>
      </c>
      <c r="IJ69" s="34" t="e">
        <f>AND(#REF!,"AAAAAHx///M=")</f>
        <v>#REF!</v>
      </c>
      <c r="IK69" s="34" t="e">
        <f>AND(#REF!,"AAAAAHx///Q=")</f>
        <v>#REF!</v>
      </c>
      <c r="IL69" s="34" t="e">
        <f>AND(#REF!,"AAAAAHx///U=")</f>
        <v>#REF!</v>
      </c>
      <c r="IM69" s="34" t="e">
        <f>AND(#REF!,"AAAAAHx///Y=")</f>
        <v>#REF!</v>
      </c>
      <c r="IN69" s="34" t="e">
        <f>AND(#REF!,"AAAAAHx///c=")</f>
        <v>#REF!</v>
      </c>
      <c r="IO69" s="34" t="e">
        <f>AND(#REF!,"AAAAAHx///g=")</f>
        <v>#REF!</v>
      </c>
      <c r="IP69" s="34" t="e">
        <f>AND(#REF!,"AAAAAHx///k=")</f>
        <v>#REF!</v>
      </c>
      <c r="IQ69" s="34" t="e">
        <f>AND(#REF!,"AAAAAHx///o=")</f>
        <v>#REF!</v>
      </c>
      <c r="IR69" s="34" t="e">
        <f>AND(#REF!,"AAAAAHx///s=")</f>
        <v>#REF!</v>
      </c>
      <c r="IS69" s="34" t="e">
        <f>AND(#REF!,"AAAAAHx///w=")</f>
        <v>#REF!</v>
      </c>
      <c r="IT69" s="34" t="e">
        <f>AND(#REF!,"AAAAAHx///0=")</f>
        <v>#REF!</v>
      </c>
      <c r="IU69" s="34" t="e">
        <f>AND(#REF!,"AAAAAHx///4=")</f>
        <v>#REF!</v>
      </c>
      <c r="IV69" s="34" t="e">
        <f>AND(#REF!,"AAAAAHx///8=")</f>
        <v>#REF!</v>
      </c>
    </row>
    <row r="70" spans="1:256" ht="12.75" customHeight="1" x14ac:dyDescent="0.2">
      <c r="A70" s="34" t="e">
        <f>AND(#REF!,"AAAAAHy33wA=")</f>
        <v>#REF!</v>
      </c>
      <c r="B70" s="34" t="e">
        <f>AND(#REF!,"AAAAAHy33wE=")</f>
        <v>#REF!</v>
      </c>
      <c r="C70" s="34" t="e">
        <f>AND(#REF!,"AAAAAHy33wI=")</f>
        <v>#REF!</v>
      </c>
      <c r="D70" s="34" t="e">
        <f>AND(#REF!,"AAAAAHy33wM=")</f>
        <v>#REF!</v>
      </c>
      <c r="E70" s="34" t="e">
        <f>AND(#REF!,"AAAAAHy33wQ=")</f>
        <v>#REF!</v>
      </c>
      <c r="F70" s="34" t="e">
        <f>AND(#REF!,"AAAAAHy33wU=")</f>
        <v>#REF!</v>
      </c>
      <c r="G70" s="34" t="e">
        <f>AND(#REF!,"AAAAAHy33wY=")</f>
        <v>#REF!</v>
      </c>
      <c r="H70" s="34" t="e">
        <f>AND(#REF!,"AAAAAHy33wc=")</f>
        <v>#REF!</v>
      </c>
      <c r="I70" s="34" t="e">
        <f>AND(#REF!,"AAAAAHy33wg=")</f>
        <v>#REF!</v>
      </c>
      <c r="J70" s="34" t="e">
        <f>AND(#REF!,"AAAAAHy33wk=")</f>
        <v>#REF!</v>
      </c>
      <c r="K70" s="34" t="e">
        <f>AND(#REF!,"AAAAAHy33wo=")</f>
        <v>#REF!</v>
      </c>
      <c r="L70" s="34" t="e">
        <f>AND(#REF!,"AAAAAHy33ws=")</f>
        <v>#REF!</v>
      </c>
      <c r="M70" s="34" t="e">
        <f>AND(#REF!,"AAAAAHy33ww=")</f>
        <v>#REF!</v>
      </c>
      <c r="N70" s="34" t="e">
        <f>AND(#REF!,"AAAAAHy33w0=")</f>
        <v>#REF!</v>
      </c>
      <c r="O70" s="34" t="e">
        <f>AND(#REF!,"AAAAAHy33w4=")</f>
        <v>#REF!</v>
      </c>
      <c r="P70" s="34" t="e">
        <f>AND(#REF!,"AAAAAHy33w8=")</f>
        <v>#REF!</v>
      </c>
      <c r="Q70" s="34" t="e">
        <f>AND(#REF!,"AAAAAHy33xA=")</f>
        <v>#REF!</v>
      </c>
      <c r="R70" s="34" t="e">
        <f>AND(#REF!,"AAAAAHy33xE=")</f>
        <v>#REF!</v>
      </c>
      <c r="S70" s="34" t="e">
        <f>AND(#REF!,"AAAAAHy33xI=")</f>
        <v>#REF!</v>
      </c>
      <c r="T70" s="34" t="e">
        <f>AND(#REF!,"AAAAAHy33xM=")</f>
        <v>#REF!</v>
      </c>
      <c r="U70" s="34" t="e">
        <f>AND(#REF!,"AAAAAHy33xQ=")</f>
        <v>#REF!</v>
      </c>
      <c r="V70" s="34" t="e">
        <f>AND(#REF!,"AAAAAHy33xU=")</f>
        <v>#REF!</v>
      </c>
      <c r="W70" s="34" t="e">
        <f>AND(#REF!,"AAAAAHy33xY=")</f>
        <v>#REF!</v>
      </c>
      <c r="X70" s="34" t="e">
        <f>AND(#REF!,"AAAAAHy33xc=")</f>
        <v>#REF!</v>
      </c>
      <c r="Y70" s="34" t="e">
        <f>AND(#REF!,"AAAAAHy33xg=")</f>
        <v>#REF!</v>
      </c>
      <c r="Z70" s="34" t="e">
        <f>AND(#REF!,"AAAAAHy33xk=")</f>
        <v>#REF!</v>
      </c>
      <c r="AA70" s="34" t="e">
        <f>AND(#REF!,"AAAAAHy33xo=")</f>
        <v>#REF!</v>
      </c>
      <c r="AB70" s="34" t="e">
        <f>IF(#REF!,"AAAAAHy33xs=",0)</f>
        <v>#REF!</v>
      </c>
      <c r="AC70" s="34" t="e">
        <f>AND(#REF!,"AAAAAHy33xw=")</f>
        <v>#REF!</v>
      </c>
      <c r="AD70" s="34" t="e">
        <f>AND(#REF!,"AAAAAHy33x0=")</f>
        <v>#REF!</v>
      </c>
      <c r="AE70" s="34" t="e">
        <f>AND(#REF!,"AAAAAHy33x4=")</f>
        <v>#REF!</v>
      </c>
      <c r="AF70" s="34" t="e">
        <f>AND(#REF!,"AAAAAHy33x8=")</f>
        <v>#REF!</v>
      </c>
      <c r="AG70" s="34" t="e">
        <f>AND(#REF!,"AAAAAHy33yA=")</f>
        <v>#REF!</v>
      </c>
      <c r="AH70" s="34" t="e">
        <f>AND(#REF!,"AAAAAHy33yE=")</f>
        <v>#REF!</v>
      </c>
      <c r="AI70" s="34" t="e">
        <f>AND(#REF!,"AAAAAHy33yI=")</f>
        <v>#REF!</v>
      </c>
      <c r="AJ70" s="34" t="e">
        <f>AND(#REF!,"AAAAAHy33yM=")</f>
        <v>#REF!</v>
      </c>
      <c r="AK70" s="34" t="e">
        <f>AND(#REF!,"AAAAAHy33yQ=")</f>
        <v>#REF!</v>
      </c>
      <c r="AL70" s="34" t="e">
        <f>AND(#REF!,"AAAAAHy33yU=")</f>
        <v>#REF!</v>
      </c>
      <c r="AM70" s="34" t="e">
        <f>AND(#REF!,"AAAAAHy33yY=")</f>
        <v>#REF!</v>
      </c>
      <c r="AN70" s="34" t="e">
        <f>AND(#REF!,"AAAAAHy33yc=")</f>
        <v>#REF!</v>
      </c>
      <c r="AO70" s="34" t="e">
        <f>AND(#REF!,"AAAAAHy33yg=")</f>
        <v>#REF!</v>
      </c>
      <c r="AP70" s="34" t="e">
        <f>AND(#REF!,"AAAAAHy33yk=")</f>
        <v>#REF!</v>
      </c>
      <c r="AQ70" s="34" t="e">
        <f>AND(#REF!,"AAAAAHy33yo=")</f>
        <v>#REF!</v>
      </c>
      <c r="AR70" s="34" t="e">
        <f>AND(#REF!,"AAAAAHy33ys=")</f>
        <v>#REF!</v>
      </c>
      <c r="AS70" s="34" t="e">
        <f>AND(#REF!,"AAAAAHy33yw=")</f>
        <v>#REF!</v>
      </c>
      <c r="AT70" s="34" t="e">
        <f>AND(#REF!,"AAAAAHy33y0=")</f>
        <v>#REF!</v>
      </c>
      <c r="AU70" s="34" t="e">
        <f>AND(#REF!,"AAAAAHy33y4=")</f>
        <v>#REF!</v>
      </c>
      <c r="AV70" s="34" t="e">
        <f>AND(#REF!,"AAAAAHy33y8=")</f>
        <v>#REF!</v>
      </c>
      <c r="AW70" s="34" t="e">
        <f>AND(#REF!,"AAAAAHy33zA=")</f>
        <v>#REF!</v>
      </c>
      <c r="AX70" s="34" t="e">
        <f>AND(#REF!,"AAAAAHy33zE=")</f>
        <v>#REF!</v>
      </c>
      <c r="AY70" s="34" t="e">
        <f>AND(#REF!,"AAAAAHy33zI=")</f>
        <v>#REF!</v>
      </c>
      <c r="AZ70" s="34" t="e">
        <f>AND(#REF!,"AAAAAHy33zM=")</f>
        <v>#REF!</v>
      </c>
      <c r="BA70" s="34" t="e">
        <f>AND(#REF!,"AAAAAHy33zQ=")</f>
        <v>#REF!</v>
      </c>
      <c r="BB70" s="34" t="e">
        <f>AND(#REF!,"AAAAAHy33zU=")</f>
        <v>#REF!</v>
      </c>
      <c r="BC70" s="34" t="e">
        <f>AND(#REF!,"AAAAAHy33zY=")</f>
        <v>#REF!</v>
      </c>
      <c r="BD70" s="34" t="e">
        <f>AND(#REF!,"AAAAAHy33zc=")</f>
        <v>#REF!</v>
      </c>
      <c r="BE70" s="34" t="e">
        <f>AND(#REF!,"AAAAAHy33zg=")</f>
        <v>#REF!</v>
      </c>
      <c r="BF70" s="34" t="e">
        <f>AND(#REF!,"AAAAAHy33zk=")</f>
        <v>#REF!</v>
      </c>
      <c r="BG70" s="34" t="e">
        <f>AND(#REF!,"AAAAAHy33zo=")</f>
        <v>#REF!</v>
      </c>
      <c r="BH70" s="34" t="e">
        <f>AND(#REF!,"AAAAAHy33zs=")</f>
        <v>#REF!</v>
      </c>
      <c r="BI70" s="34" t="e">
        <f>AND(#REF!,"AAAAAHy33zw=")</f>
        <v>#REF!</v>
      </c>
      <c r="BJ70" s="34" t="e">
        <f>AND(#REF!,"AAAAAHy33z0=")</f>
        <v>#REF!</v>
      </c>
      <c r="BK70" s="34" t="e">
        <f>AND(#REF!,"AAAAAHy33z4=")</f>
        <v>#REF!</v>
      </c>
      <c r="BL70" s="34" t="e">
        <f>AND(#REF!,"AAAAAHy33z8=")</f>
        <v>#REF!</v>
      </c>
      <c r="BM70" s="34" t="e">
        <f>AND(#REF!,"AAAAAHy330A=")</f>
        <v>#REF!</v>
      </c>
      <c r="BN70" s="34" t="e">
        <f>AND(#REF!,"AAAAAHy330E=")</f>
        <v>#REF!</v>
      </c>
      <c r="BO70" s="34" t="e">
        <f>AND(#REF!,"AAAAAHy330I=")</f>
        <v>#REF!</v>
      </c>
      <c r="BP70" s="34" t="e">
        <f>AND(#REF!,"AAAAAHy330M=")</f>
        <v>#REF!</v>
      </c>
      <c r="BQ70" s="34" t="e">
        <f>AND(#REF!,"AAAAAHy330Q=")</f>
        <v>#REF!</v>
      </c>
      <c r="BR70" s="34" t="e">
        <f>AND(#REF!,"AAAAAHy330U=")</f>
        <v>#REF!</v>
      </c>
      <c r="BS70" s="34" t="e">
        <f>AND(#REF!,"AAAAAHy330Y=")</f>
        <v>#REF!</v>
      </c>
      <c r="BT70" s="34" t="e">
        <f>AND(#REF!,"AAAAAHy330c=")</f>
        <v>#REF!</v>
      </c>
      <c r="BU70" s="34" t="e">
        <f>AND(#REF!,"AAAAAHy330g=")</f>
        <v>#REF!</v>
      </c>
      <c r="BV70" s="34" t="e">
        <f>AND(#REF!,"AAAAAHy330k=")</f>
        <v>#REF!</v>
      </c>
      <c r="BW70" s="34" t="e">
        <f>AND(#REF!,"AAAAAHy330o=")</f>
        <v>#REF!</v>
      </c>
      <c r="BX70" s="34" t="e">
        <f>AND(#REF!,"AAAAAHy330s=")</f>
        <v>#REF!</v>
      </c>
      <c r="BY70" s="34" t="e">
        <f>AND(#REF!,"AAAAAHy330w=")</f>
        <v>#REF!</v>
      </c>
      <c r="BZ70" s="34" t="e">
        <f>AND(#REF!,"AAAAAHy3300=")</f>
        <v>#REF!</v>
      </c>
      <c r="CA70" s="34" t="e">
        <f>AND(#REF!,"AAAAAHy3304=")</f>
        <v>#REF!</v>
      </c>
      <c r="CB70" s="34" t="e">
        <f>AND(#REF!,"AAAAAHy3308=")</f>
        <v>#REF!</v>
      </c>
      <c r="CC70" s="34" t="e">
        <f>AND(#REF!,"AAAAAHy331A=")</f>
        <v>#REF!</v>
      </c>
      <c r="CD70" s="34" t="e">
        <f>AND(#REF!,"AAAAAHy331E=")</f>
        <v>#REF!</v>
      </c>
      <c r="CE70" s="34" t="e">
        <f>AND(#REF!,"AAAAAHy331I=")</f>
        <v>#REF!</v>
      </c>
      <c r="CF70" s="34" t="e">
        <f>AND(#REF!,"AAAAAHy331M=")</f>
        <v>#REF!</v>
      </c>
      <c r="CG70" s="34" t="e">
        <f>AND(#REF!,"AAAAAHy331Q=")</f>
        <v>#REF!</v>
      </c>
      <c r="CH70" s="34" t="e">
        <f>AND(#REF!,"AAAAAHy331U=")</f>
        <v>#REF!</v>
      </c>
      <c r="CI70" s="34" t="e">
        <f>AND(#REF!,"AAAAAHy331Y=")</f>
        <v>#REF!</v>
      </c>
      <c r="CJ70" s="34" t="e">
        <f>AND(#REF!,"AAAAAHy331c=")</f>
        <v>#REF!</v>
      </c>
      <c r="CK70" s="34" t="e">
        <f>AND(#REF!,"AAAAAHy331g=")</f>
        <v>#REF!</v>
      </c>
      <c r="CL70" s="34" t="e">
        <f>AND(#REF!,"AAAAAHy331k=")</f>
        <v>#REF!</v>
      </c>
      <c r="CM70" s="34" t="e">
        <f>AND(#REF!,"AAAAAHy331o=")</f>
        <v>#REF!</v>
      </c>
      <c r="CN70" s="34" t="e">
        <f>AND(#REF!,"AAAAAHy331s=")</f>
        <v>#REF!</v>
      </c>
      <c r="CO70" s="34" t="e">
        <f>AND(#REF!,"AAAAAHy331w=")</f>
        <v>#REF!</v>
      </c>
      <c r="CP70" s="34" t="e">
        <f>AND(#REF!,"AAAAAHy3310=")</f>
        <v>#REF!</v>
      </c>
      <c r="CQ70" s="34" t="e">
        <f>AND(#REF!,"AAAAAHy3314=")</f>
        <v>#REF!</v>
      </c>
      <c r="CR70" s="34" t="e">
        <f>AND(#REF!,"AAAAAHy3318=")</f>
        <v>#REF!</v>
      </c>
      <c r="CS70" s="34" t="e">
        <f>AND(#REF!,"AAAAAHy332A=")</f>
        <v>#REF!</v>
      </c>
      <c r="CT70" s="34" t="e">
        <f>AND(#REF!,"AAAAAHy332E=")</f>
        <v>#REF!</v>
      </c>
      <c r="CU70" s="34" t="e">
        <f>AND(#REF!,"AAAAAHy332I=")</f>
        <v>#REF!</v>
      </c>
      <c r="CV70" s="34" t="e">
        <f>AND(#REF!,"AAAAAHy332M=")</f>
        <v>#REF!</v>
      </c>
      <c r="CW70" s="34" t="e">
        <f>IF(#REF!,"AAAAAHy332Q=",0)</f>
        <v>#REF!</v>
      </c>
      <c r="CX70" s="34" t="e">
        <f>AND(#REF!,"AAAAAHy332U=")</f>
        <v>#REF!</v>
      </c>
      <c r="CY70" s="34" t="e">
        <f>AND(#REF!,"AAAAAHy332Y=")</f>
        <v>#REF!</v>
      </c>
      <c r="CZ70" s="34" t="e">
        <f>AND(#REF!,"AAAAAHy332c=")</f>
        <v>#REF!</v>
      </c>
      <c r="DA70" s="34" t="e">
        <f>AND(#REF!,"AAAAAHy332g=")</f>
        <v>#REF!</v>
      </c>
      <c r="DB70" s="34" t="e">
        <f>AND(#REF!,"AAAAAHy332k=")</f>
        <v>#REF!</v>
      </c>
      <c r="DC70" s="34" t="e">
        <f>AND(#REF!,"AAAAAHy332o=")</f>
        <v>#REF!</v>
      </c>
      <c r="DD70" s="34" t="e">
        <f>AND(#REF!,"AAAAAHy332s=")</f>
        <v>#REF!</v>
      </c>
      <c r="DE70" s="34" t="e">
        <f>AND(#REF!,"AAAAAHy332w=")</f>
        <v>#REF!</v>
      </c>
      <c r="DF70" s="34" t="e">
        <f>AND(#REF!,"AAAAAHy3320=")</f>
        <v>#REF!</v>
      </c>
      <c r="DG70" s="34" t="e">
        <f>AND(#REF!,"AAAAAHy3324=")</f>
        <v>#REF!</v>
      </c>
      <c r="DH70" s="34" t="e">
        <f>AND(#REF!,"AAAAAHy3328=")</f>
        <v>#REF!</v>
      </c>
      <c r="DI70" s="34" t="e">
        <f>AND(#REF!,"AAAAAHy333A=")</f>
        <v>#REF!</v>
      </c>
      <c r="DJ70" s="34" t="e">
        <f>AND(#REF!,"AAAAAHy333E=")</f>
        <v>#REF!</v>
      </c>
      <c r="DK70" s="34" t="e">
        <f>AND(#REF!,"AAAAAHy333I=")</f>
        <v>#REF!</v>
      </c>
      <c r="DL70" s="34" t="e">
        <f>AND(#REF!,"AAAAAHy333M=")</f>
        <v>#REF!</v>
      </c>
      <c r="DM70" s="34" t="e">
        <f>AND(#REF!,"AAAAAHy333Q=")</f>
        <v>#REF!</v>
      </c>
      <c r="DN70" s="34" t="e">
        <f>AND(#REF!,"AAAAAHy333U=")</f>
        <v>#REF!</v>
      </c>
      <c r="DO70" s="34" t="e">
        <f>AND(#REF!,"AAAAAHy333Y=")</f>
        <v>#REF!</v>
      </c>
      <c r="DP70" s="34" t="e">
        <f>AND(#REF!,"AAAAAHy333c=")</f>
        <v>#REF!</v>
      </c>
      <c r="DQ70" s="34" t="e">
        <f>AND(#REF!,"AAAAAHy333g=")</f>
        <v>#REF!</v>
      </c>
      <c r="DR70" s="34" t="e">
        <f>AND(#REF!,"AAAAAHy333k=")</f>
        <v>#REF!</v>
      </c>
      <c r="DS70" s="34" t="e">
        <f>AND(#REF!,"AAAAAHy333o=")</f>
        <v>#REF!</v>
      </c>
      <c r="DT70" s="34" t="e">
        <f>AND(#REF!,"AAAAAHy333s=")</f>
        <v>#REF!</v>
      </c>
      <c r="DU70" s="34" t="e">
        <f>AND(#REF!,"AAAAAHy333w=")</f>
        <v>#REF!</v>
      </c>
      <c r="DV70" s="34" t="e">
        <f>AND(#REF!,"AAAAAHy3330=")</f>
        <v>#REF!</v>
      </c>
      <c r="DW70" s="34" t="e">
        <f>AND(#REF!,"AAAAAHy3334=")</f>
        <v>#REF!</v>
      </c>
      <c r="DX70" s="34" t="e">
        <f>AND(#REF!,"AAAAAHy3338=")</f>
        <v>#REF!</v>
      </c>
      <c r="DY70" s="34" t="e">
        <f>AND(#REF!,"AAAAAHy334A=")</f>
        <v>#REF!</v>
      </c>
      <c r="DZ70" s="34" t="e">
        <f>AND(#REF!,"AAAAAHy334E=")</f>
        <v>#REF!</v>
      </c>
      <c r="EA70" s="34" t="e">
        <f>AND(#REF!,"AAAAAHy334I=")</f>
        <v>#REF!</v>
      </c>
      <c r="EB70" s="34" t="e">
        <f>AND(#REF!,"AAAAAHy334M=")</f>
        <v>#REF!</v>
      </c>
      <c r="EC70" s="34" t="e">
        <f>AND(#REF!,"AAAAAHy334Q=")</f>
        <v>#REF!</v>
      </c>
      <c r="ED70" s="34" t="e">
        <f>AND(#REF!,"AAAAAHy334U=")</f>
        <v>#REF!</v>
      </c>
      <c r="EE70" s="34" t="e">
        <f>AND(#REF!,"AAAAAHy334Y=")</f>
        <v>#REF!</v>
      </c>
      <c r="EF70" s="34" t="e">
        <f>AND(#REF!,"AAAAAHy334c=")</f>
        <v>#REF!</v>
      </c>
      <c r="EG70" s="34" t="e">
        <f>AND(#REF!,"AAAAAHy334g=")</f>
        <v>#REF!</v>
      </c>
      <c r="EH70" s="34" t="e">
        <f>AND(#REF!,"AAAAAHy334k=")</f>
        <v>#REF!</v>
      </c>
      <c r="EI70" s="34" t="e">
        <f>AND(#REF!,"AAAAAHy334o=")</f>
        <v>#REF!</v>
      </c>
      <c r="EJ70" s="34" t="e">
        <f>AND(#REF!,"AAAAAHy334s=")</f>
        <v>#REF!</v>
      </c>
      <c r="EK70" s="34" t="e">
        <f>AND(#REF!,"AAAAAHy334w=")</f>
        <v>#REF!</v>
      </c>
      <c r="EL70" s="34" t="e">
        <f>AND(#REF!,"AAAAAHy3340=")</f>
        <v>#REF!</v>
      </c>
      <c r="EM70" s="34" t="e">
        <f>AND(#REF!,"AAAAAHy3344=")</f>
        <v>#REF!</v>
      </c>
      <c r="EN70" s="34" t="e">
        <f>AND(#REF!,"AAAAAHy3348=")</f>
        <v>#REF!</v>
      </c>
      <c r="EO70" s="34" t="e">
        <f>AND(#REF!,"AAAAAHy335A=")</f>
        <v>#REF!</v>
      </c>
      <c r="EP70" s="34" t="e">
        <f>AND(#REF!,"AAAAAHy335E=")</f>
        <v>#REF!</v>
      </c>
      <c r="EQ70" s="34" t="e">
        <f>AND(#REF!,"AAAAAHy335I=")</f>
        <v>#REF!</v>
      </c>
      <c r="ER70" s="34" t="e">
        <f>AND(#REF!,"AAAAAHy335M=")</f>
        <v>#REF!</v>
      </c>
      <c r="ES70" s="34" t="e">
        <f>AND(#REF!,"AAAAAHy335Q=")</f>
        <v>#REF!</v>
      </c>
      <c r="ET70" s="34" t="e">
        <f>AND(#REF!,"AAAAAHy335U=")</f>
        <v>#REF!</v>
      </c>
      <c r="EU70" s="34" t="e">
        <f>AND(#REF!,"AAAAAHy335Y=")</f>
        <v>#REF!</v>
      </c>
      <c r="EV70" s="34" t="e">
        <f>AND(#REF!,"AAAAAHy335c=")</f>
        <v>#REF!</v>
      </c>
      <c r="EW70" s="34" t="e">
        <f>AND(#REF!,"AAAAAHy335g=")</f>
        <v>#REF!</v>
      </c>
      <c r="EX70" s="34" t="e">
        <f>AND(#REF!,"AAAAAHy335k=")</f>
        <v>#REF!</v>
      </c>
      <c r="EY70" s="34" t="e">
        <f>AND(#REF!,"AAAAAHy335o=")</f>
        <v>#REF!</v>
      </c>
      <c r="EZ70" s="34" t="e">
        <f>AND(#REF!,"AAAAAHy335s=")</f>
        <v>#REF!</v>
      </c>
      <c r="FA70" s="34" t="e">
        <f>AND(#REF!,"AAAAAHy335w=")</f>
        <v>#REF!</v>
      </c>
      <c r="FB70" s="34" t="e">
        <f>AND(#REF!,"AAAAAHy3350=")</f>
        <v>#REF!</v>
      </c>
      <c r="FC70" s="34" t="e">
        <f>AND(#REF!,"AAAAAHy3354=")</f>
        <v>#REF!</v>
      </c>
      <c r="FD70" s="34" t="e">
        <f>AND(#REF!,"AAAAAHy3358=")</f>
        <v>#REF!</v>
      </c>
      <c r="FE70" s="34" t="e">
        <f>AND(#REF!,"AAAAAHy336A=")</f>
        <v>#REF!</v>
      </c>
      <c r="FF70" s="34" t="e">
        <f>AND(#REF!,"AAAAAHy336E=")</f>
        <v>#REF!</v>
      </c>
      <c r="FG70" s="34" t="e">
        <f>AND(#REF!,"AAAAAHy336I=")</f>
        <v>#REF!</v>
      </c>
      <c r="FH70" s="34" t="e">
        <f>AND(#REF!,"AAAAAHy336M=")</f>
        <v>#REF!</v>
      </c>
      <c r="FI70" s="34" t="e">
        <f>AND(#REF!,"AAAAAHy336Q=")</f>
        <v>#REF!</v>
      </c>
      <c r="FJ70" s="34" t="e">
        <f>AND(#REF!,"AAAAAHy336U=")</f>
        <v>#REF!</v>
      </c>
      <c r="FK70" s="34" t="e">
        <f>AND(#REF!,"AAAAAHy336Y=")</f>
        <v>#REF!</v>
      </c>
      <c r="FL70" s="34" t="e">
        <f>AND(#REF!,"AAAAAHy336c=")</f>
        <v>#REF!</v>
      </c>
      <c r="FM70" s="34" t="e">
        <f>AND(#REF!,"AAAAAHy336g=")</f>
        <v>#REF!</v>
      </c>
      <c r="FN70" s="34" t="e">
        <f>AND(#REF!,"AAAAAHy336k=")</f>
        <v>#REF!</v>
      </c>
      <c r="FO70" s="34" t="e">
        <f>AND(#REF!,"AAAAAHy336o=")</f>
        <v>#REF!</v>
      </c>
      <c r="FP70" s="34" t="e">
        <f>AND(#REF!,"AAAAAHy336s=")</f>
        <v>#REF!</v>
      </c>
      <c r="FQ70" s="34" t="e">
        <f>AND(#REF!,"AAAAAHy336w=")</f>
        <v>#REF!</v>
      </c>
      <c r="FR70" s="34" t="e">
        <f>IF(#REF!,"AAAAAHy3360=",0)</f>
        <v>#REF!</v>
      </c>
      <c r="FS70" s="34" t="e">
        <f>IF(#REF!,"AAAAAHy3364=",0)</f>
        <v>#REF!</v>
      </c>
      <c r="FT70" s="34" t="e">
        <f>IF(#REF!,"AAAAAHy3368=",0)</f>
        <v>#REF!</v>
      </c>
      <c r="FU70" s="34" t="e">
        <f>IF(#REF!,"AAAAAHy337A=",0)</f>
        <v>#REF!</v>
      </c>
      <c r="FV70" s="34" t="e">
        <f>IF(#REF!,"AAAAAHy337E=",0)</f>
        <v>#REF!</v>
      </c>
      <c r="FW70" s="34" t="e">
        <f>IF(#REF!,"AAAAAHy337I=",0)</f>
        <v>#REF!</v>
      </c>
      <c r="FX70" s="34" t="e">
        <f>IF(#REF!,"AAAAAHy337M=",0)</f>
        <v>#REF!</v>
      </c>
      <c r="FY70" s="34" t="e">
        <f>IF(#REF!,"AAAAAHy337Q=",0)</f>
        <v>#REF!</v>
      </c>
      <c r="FZ70" s="34" t="e">
        <f>IF(#REF!,"AAAAAHy337U=",0)</f>
        <v>#REF!</v>
      </c>
      <c r="GA70" s="34" t="e">
        <f>IF(#REF!,"AAAAAHy337Y=",0)</f>
        <v>#REF!</v>
      </c>
      <c r="GB70" s="34" t="e">
        <f>IF(#REF!,"AAAAAHy337c=",0)</f>
        <v>#REF!</v>
      </c>
      <c r="GC70" s="34" t="e">
        <f>IF(#REF!,"AAAAAHy337g=",0)</f>
        <v>#REF!</v>
      </c>
      <c r="GD70" s="34" t="e">
        <f>IF(#REF!,"AAAAAHy337k=",0)</f>
        <v>#REF!</v>
      </c>
      <c r="GE70" s="34" t="e">
        <f>IF(#REF!,"AAAAAHy337o=",0)</f>
        <v>#REF!</v>
      </c>
      <c r="GF70" s="34" t="e">
        <f>IF(#REF!,"AAAAAHy337s=",0)</f>
        <v>#REF!</v>
      </c>
      <c r="GG70" s="34" t="e">
        <f>IF(#REF!,"AAAAAHy337w=",0)</f>
        <v>#REF!</v>
      </c>
      <c r="GH70" s="34" t="e">
        <f>IF(#REF!,"AAAAAHy3370=",0)</f>
        <v>#REF!</v>
      </c>
      <c r="GI70" s="34" t="e">
        <f>IF(#REF!,"AAAAAHy3374=",0)</f>
        <v>#REF!</v>
      </c>
      <c r="GJ70" s="34" t="e">
        <f>IF(#REF!,"AAAAAHy3378=",0)</f>
        <v>#REF!</v>
      </c>
      <c r="GK70" s="34" t="e">
        <f>IF(#REF!,"AAAAAHy338A=",0)</f>
        <v>#REF!</v>
      </c>
      <c r="GL70" s="34" t="e">
        <f>IF(#REF!,"AAAAAHy338E=",0)</f>
        <v>#REF!</v>
      </c>
      <c r="GM70" s="34" t="e">
        <f>IF(#REF!,"AAAAAHy338I=",0)</f>
        <v>#REF!</v>
      </c>
      <c r="GN70" s="34" t="e">
        <f>IF(#REF!,"AAAAAHy338M=",0)</f>
        <v>#REF!</v>
      </c>
      <c r="GO70" s="34" t="e">
        <f>IF(#REF!,"AAAAAHy338Q=",0)</f>
        <v>#REF!</v>
      </c>
      <c r="GP70" s="34" t="e">
        <f>IF(#REF!,"AAAAAHy338U=",0)</f>
        <v>#REF!</v>
      </c>
      <c r="GQ70" s="34" t="e">
        <f>IF(#REF!,"AAAAAHy338Y=",0)</f>
        <v>#REF!</v>
      </c>
      <c r="GR70" s="34" t="e">
        <f>IF(#REF!,"AAAAAHy338c=",0)</f>
        <v>#REF!</v>
      </c>
      <c r="GS70" s="34" t="e">
        <f>IF(#REF!,"AAAAAHy338g=",0)</f>
        <v>#REF!</v>
      </c>
      <c r="GT70" s="34" t="e">
        <f>IF(#REF!,"AAAAAHy338k=",0)</f>
        <v>#REF!</v>
      </c>
      <c r="GU70" s="34" t="e">
        <f>IF(#REF!,"AAAAAHy338o=",0)</f>
        <v>#REF!</v>
      </c>
      <c r="GV70" s="34" t="e">
        <f>IF(#REF!,"AAAAAHy338s=",0)</f>
        <v>#REF!</v>
      </c>
      <c r="GW70" s="34" t="e">
        <f>IF(#REF!,"AAAAAHy338w=",0)</f>
        <v>#REF!</v>
      </c>
      <c r="GX70" s="34" t="e">
        <f>IF(#REF!,"AAAAAHy3380=",0)</f>
        <v>#REF!</v>
      </c>
      <c r="GY70" s="34" t="e">
        <f>IF(#REF!,"AAAAAHy3384=",0)</f>
        <v>#REF!</v>
      </c>
      <c r="GZ70" s="34" t="e">
        <f>IF(#REF!,"AAAAAHy3388=",0)</f>
        <v>#REF!</v>
      </c>
      <c r="HA70" s="34" t="e">
        <f>IF(#REF!,"AAAAAHy339A=",0)</f>
        <v>#REF!</v>
      </c>
      <c r="HB70" s="34" t="e">
        <f>IF(#REF!,"AAAAAHy339E=",0)</f>
        <v>#REF!</v>
      </c>
      <c r="HC70" s="34" t="e">
        <f>IF(#REF!,"AAAAAHy339I=",0)</f>
        <v>#REF!</v>
      </c>
      <c r="HD70" s="34" t="e">
        <f>IF(#REF!,"AAAAAHy339M=",0)</f>
        <v>#REF!</v>
      </c>
      <c r="HE70" s="34" t="e">
        <f>IF(#REF!,"AAAAAHy339Q=",0)</f>
        <v>#REF!</v>
      </c>
      <c r="HF70" s="34" t="e">
        <f>IF(#REF!,"AAAAAHy339U=",0)</f>
        <v>#REF!</v>
      </c>
      <c r="HG70" s="34" t="e">
        <f>IF(#REF!,"AAAAAHy339Y=",0)</f>
        <v>#REF!</v>
      </c>
      <c r="HH70" s="34" t="e">
        <f>IF(#REF!,"AAAAAHy339c=",0)</f>
        <v>#REF!</v>
      </c>
      <c r="HI70" s="34" t="e">
        <f>IF(#REF!,"AAAAAHy339g=",0)</f>
        <v>#REF!</v>
      </c>
      <c r="HJ70" s="34" t="e">
        <f>IF(#REF!,"AAAAAHy339k=",0)</f>
        <v>#REF!</v>
      </c>
      <c r="HK70" s="34" t="e">
        <f>IF(#REF!,"AAAAAHy339o=",0)</f>
        <v>#REF!</v>
      </c>
      <c r="HL70" s="34" t="e">
        <f>IF(#REF!,"AAAAAHy339s=",0)</f>
        <v>#REF!</v>
      </c>
      <c r="HM70" s="34" t="e">
        <f>IF(#REF!,"AAAAAHy339w=",0)</f>
        <v>#REF!</v>
      </c>
      <c r="HN70" s="34" t="e">
        <f>IF(#REF!,"AAAAAHy3390=",0)</f>
        <v>#REF!</v>
      </c>
      <c r="HO70" s="34" t="e">
        <f>IF(#REF!,"AAAAAHy3394=",0)</f>
        <v>#REF!</v>
      </c>
      <c r="HP70" s="34" t="e">
        <f>IF(#REF!,"AAAAAHy3398=",0)</f>
        <v>#REF!</v>
      </c>
      <c r="HQ70" s="34" t="e">
        <f>IF(#REF!,"AAAAAHy33+A=",0)</f>
        <v>#REF!</v>
      </c>
      <c r="HR70" s="34" t="e">
        <f>IF(#REF!,"AAAAAHy33+E=",0)</f>
        <v>#REF!</v>
      </c>
      <c r="HS70" s="34" t="e">
        <f>IF(#REF!,"AAAAAHy33+I=",0)</f>
        <v>#REF!</v>
      </c>
      <c r="HT70" s="34" t="e">
        <f>IF(#REF!,"AAAAAHy33+M=",0)</f>
        <v>#REF!</v>
      </c>
      <c r="HU70" s="34" t="e">
        <f>IF(#REF!,"AAAAAHy33+Q=",0)</f>
        <v>#REF!</v>
      </c>
      <c r="HV70" s="34" t="e">
        <f>IF(#REF!,"AAAAAHy33+U=",0)</f>
        <v>#REF!</v>
      </c>
      <c r="HW70" s="34" t="e">
        <f>IF(#REF!,"AAAAAHy33+Y=",0)</f>
        <v>#REF!</v>
      </c>
      <c r="HX70" s="34" t="e">
        <f>IF(#REF!,"AAAAAHy33+c=",0)</f>
        <v>#REF!</v>
      </c>
      <c r="HY70" s="34" t="e">
        <f>IF(#REF!,"AAAAAHy33+g=",0)</f>
        <v>#REF!</v>
      </c>
      <c r="HZ70" s="34" t="e">
        <f>IF(#REF!,"AAAAAHy33+k=",0)</f>
        <v>#REF!</v>
      </c>
      <c r="IA70" s="34" t="e">
        <f>IF(#REF!,"AAAAAHy33+o=",0)</f>
        <v>#REF!</v>
      </c>
      <c r="IB70" s="34" t="e">
        <f>IF(#REF!,"AAAAAHy33+s=",0)</f>
        <v>#REF!</v>
      </c>
      <c r="IC70" s="34" t="e">
        <f>IF(#REF!,"AAAAAHy33+w=",0)</f>
        <v>#REF!</v>
      </c>
      <c r="ID70" s="34" t="e">
        <f>IF(#REF!,"AAAAAHy33+0=",0)</f>
        <v>#REF!</v>
      </c>
      <c r="IE70" s="34" t="e">
        <f>IF(#REF!,"AAAAAHy33+4=",0)</f>
        <v>#REF!</v>
      </c>
      <c r="IF70" s="34" t="e">
        <f>IF(#REF!,"AAAAAHy33+8=",0)</f>
        <v>#REF!</v>
      </c>
      <c r="IG70" s="34" t="e">
        <f>IF(#REF!,"AAAAAHy33/A=",0)</f>
        <v>#REF!</v>
      </c>
      <c r="IH70" s="34" t="e">
        <f>IF(#REF!,"AAAAAHy33/E=",0)</f>
        <v>#REF!</v>
      </c>
      <c r="II70" s="34" t="e">
        <f>IF(#REF!,"AAAAAHy33/I=",0)</f>
        <v>#REF!</v>
      </c>
      <c r="IJ70" s="34" t="e">
        <f>IF(#REF!,"AAAAAHy33/M=",0)</f>
        <v>#REF!</v>
      </c>
      <c r="IK70" s="34" t="e">
        <f>IF(#REF!,"AAAAAHy33/Q=",0)</f>
        <v>#REF!</v>
      </c>
      <c r="IL70" s="34" t="e">
        <f>IF(#REF!,"AAAAAHy33/U=",0)</f>
        <v>#REF!</v>
      </c>
      <c r="IM70" s="34" t="e">
        <f>IF(#REF!,"AAAAAHy33/Y=",0)</f>
        <v>#REF!</v>
      </c>
      <c r="IN70" s="34" t="e">
        <f>IF(#REF!,"AAAAAHy33/c=",0)</f>
        <v>#REF!</v>
      </c>
      <c r="IO70" s="34" t="e">
        <f>IF(#REF!,"AAAAAHy33/g=",0)</f>
        <v>#REF!</v>
      </c>
      <c r="IP70" s="34" t="e">
        <f>IF(#REF!,"AAAAAHy33/k=",0)</f>
        <v>#REF!</v>
      </c>
      <c r="IQ70" s="34" t="e">
        <f>IF(#REF!,"AAAAAHy33/o=",0)</f>
        <v>#REF!</v>
      </c>
      <c r="IR70" s="34" t="e">
        <f>IF(#REF!,"AAAAAHy33/s=",0)</f>
        <v>#REF!</v>
      </c>
      <c r="IS70" s="34" t="e">
        <f>IF(#REF!,"AAAAAHy33/w=",0)</f>
        <v>#REF!</v>
      </c>
      <c r="IT70" s="34" t="e">
        <f>IF(#REF!,"AAAAAHy33/0=",0)</f>
        <v>#REF!</v>
      </c>
      <c r="IU70" s="34" t="e">
        <f>IF(#REF!,"AAAAAHy33/4=",0)</f>
        <v>#REF!</v>
      </c>
      <c r="IV70" s="34" t="e">
        <f>IF(#REF!,"AAAAAHy33/8=",0)</f>
        <v>#REF!</v>
      </c>
    </row>
    <row r="71" spans="1:256" ht="12.75" customHeight="1" x14ac:dyDescent="0.2">
      <c r="A71" s="34" t="e">
        <f>IF(#REF!,"AAAAAH//vwA=",0)</f>
        <v>#REF!</v>
      </c>
      <c r="B71" s="34" t="e">
        <f>IF(#REF!,"AAAAAH//vwE=",0)</f>
        <v>#REF!</v>
      </c>
      <c r="C71" s="34" t="e">
        <f>IF(#REF!,"AAAAAH//vwI=",0)</f>
        <v>#REF!</v>
      </c>
      <c r="D71" s="34" t="e">
        <f>IF(#REF!,"AAAAAH//vwM=",0)</f>
        <v>#REF!</v>
      </c>
      <c r="E71" s="34" t="e">
        <f>IF(#REF!,"AAAAAH//vwQ=",0)</f>
        <v>#REF!</v>
      </c>
      <c r="F71" s="34" t="e">
        <f>IF(#REF!,"AAAAAH//vwU=",0)</f>
        <v>#REF!</v>
      </c>
      <c r="G71" s="34" t="e">
        <f>IF(#REF!,"AAAAAH//vwY=",0)</f>
        <v>#REF!</v>
      </c>
      <c r="H71" s="34" t="e">
        <f>IF(#REF!,"AAAAAH//vwc=",0)</f>
        <v>#REF!</v>
      </c>
      <c r="I71" s="34" t="e">
        <f>IF(#REF!,"AAAAAH//vwg=",0)</f>
        <v>#REF!</v>
      </c>
      <c r="J71" s="34" t="e">
        <f>IF(#REF!,"AAAAAH//vwk=",0)</f>
        <v>#REF!</v>
      </c>
      <c r="K71" s="34" t="e">
        <f>IF(#REF!,"AAAAAH//vwo=",0)</f>
        <v>#REF!</v>
      </c>
      <c r="L71" s="34" t="e">
        <f>IF(#REF!,"AAAAAH//vws=",0)</f>
        <v>#REF!</v>
      </c>
      <c r="M71" s="34" t="e">
        <f>IF(#REF!,"AAAAAH//vww=",0)</f>
        <v>#REF!</v>
      </c>
      <c r="N71" s="34" t="e">
        <f>IF(#REF!,"AAAAAH//vw0=",0)</f>
        <v>#REF!</v>
      </c>
      <c r="O71" s="34" t="e">
        <f>IF(#REF!,"AAAAAH//vw4=",0)</f>
        <v>#REF!</v>
      </c>
      <c r="P71" s="34" t="e">
        <f>IF(#REF!,"AAAAAH//vw8=",0)</f>
        <v>#REF!</v>
      </c>
      <c r="Q71" s="34" t="e">
        <f>IF(#REF!,"AAAAAH//vxA=",0)</f>
        <v>#REF!</v>
      </c>
      <c r="R71" s="34" t="e">
        <f>IF(#REF!,"AAAAAH//vxE=",0)</f>
        <v>#REF!</v>
      </c>
      <c r="S71" s="34" t="e">
        <f>IF(#REF!,"AAAAAH//vxI=",0)</f>
        <v>#REF!</v>
      </c>
      <c r="T71" s="34" t="e">
        <f>IF(#REF!,"AAAAAH//vxM=",0)</f>
        <v>#REF!</v>
      </c>
      <c r="U71" s="34" t="e">
        <f>IF(#REF!,"AAAAAH//vxQ=",0)</f>
        <v>#REF!</v>
      </c>
      <c r="V71" s="34" t="e">
        <f>IF(#REF!,"AAAAAH//vxU=",0)</f>
        <v>#REF!</v>
      </c>
      <c r="W71" s="34" t="e">
        <f>IF(#REF!,"AAAAAH//vxY=",0)</f>
        <v>#REF!</v>
      </c>
      <c r="X71" s="34" t="e">
        <f>IF(#REF!,"AAAAAH//vxc=",0)</f>
        <v>#REF!</v>
      </c>
      <c r="Y71" s="34" t="e">
        <f>IF(#REF!,"AAAAAH//vxg=",0)</f>
        <v>#REF!</v>
      </c>
      <c r="Z71" s="34" t="e">
        <f>IF(#REF!,"AAAAAH//vxk=",0)</f>
        <v>#REF!</v>
      </c>
      <c r="AA71" s="34" t="e">
        <f>IF(#REF!,"AAAAAH//vxo=",0)</f>
        <v>#REF!</v>
      </c>
      <c r="AB71" s="34" t="e">
        <f>IF(#REF!,"AAAAAH//vxs=",0)</f>
        <v>#REF!</v>
      </c>
      <c r="AC71" s="34" t="e">
        <f>IF(#REF!,"AAAAAH//vxw=",0)</f>
        <v>#REF!</v>
      </c>
      <c r="AD71" s="34" t="e">
        <f>IF(#REF!,"AAAAAH//vx0=",0)</f>
        <v>#REF!</v>
      </c>
      <c r="AE71" s="34" t="e">
        <f>IF(#REF!,"AAAAAH//vx4=",0)</f>
        <v>#REF!</v>
      </c>
      <c r="AF71" s="34" t="e">
        <f>IF(#REF!,"AAAAAH//vx8=",0)</f>
        <v>#REF!</v>
      </c>
      <c r="AG71" s="34" t="e">
        <f>IF(#REF!,"AAAAAH//vyA=",0)</f>
        <v>#REF!</v>
      </c>
      <c r="AH71" s="34" t="e">
        <f>IF(#REF!,"AAAAAH//vyE=",0)</f>
        <v>#REF!</v>
      </c>
      <c r="AI71" s="34" t="e">
        <f>IF(#REF!,"AAAAAH//vyI=",0)</f>
        <v>#REF!</v>
      </c>
      <c r="AJ71" s="34" t="e">
        <f>IF(#REF!,"AAAAAH//vyM=",0)</f>
        <v>#REF!</v>
      </c>
      <c r="AK71" s="34" t="e">
        <f>IF(#REF!,"AAAAAH//vyQ=",0)</f>
        <v>#REF!</v>
      </c>
      <c r="AL71" s="34" t="e">
        <f>IF(#REF!,"AAAAAH//vyU=",0)</f>
        <v>#REF!</v>
      </c>
      <c r="AM71" s="34" t="e">
        <f>IF(#REF!,"AAAAAH//vyY=",0)</f>
        <v>#REF!</v>
      </c>
      <c r="AN71" s="34" t="e">
        <f>IF(#REF!,"AAAAAH//vyc=",0)</f>
        <v>#REF!</v>
      </c>
      <c r="AO71" s="34" t="e">
        <f>IF(#REF!,"AAAAAH//vyg=",0)</f>
        <v>#REF!</v>
      </c>
      <c r="AP71" s="34" t="e">
        <f>IF(#REF!,"AAAAAH//vyk=",0)</f>
        <v>#REF!</v>
      </c>
      <c r="AQ71" s="34" t="e">
        <f>IF(#REF!,"AAAAAH//vyo=",0)</f>
        <v>#REF!</v>
      </c>
      <c r="AR71" s="34" t="e">
        <f>IF(#REF!,"AAAAAH//vys=",0)</f>
        <v>#REF!</v>
      </c>
      <c r="AS71" s="34" t="e">
        <f>IF(#REF!,"AAAAAH//vyw=",0)</f>
        <v>#REF!</v>
      </c>
      <c r="AT71" s="34" t="e">
        <f>IF(#REF!,"AAAAAH//vy0=",0)</f>
        <v>#REF!</v>
      </c>
      <c r="AU71" s="34" t="e">
        <f>IF(#REF!,"AAAAAH//vy4=",0)</f>
        <v>#REF!</v>
      </c>
      <c r="AV71" s="34" t="e">
        <f>IF(#REF!,"AAAAAH//vy8=",0)</f>
        <v>#REF!</v>
      </c>
      <c r="AW71" s="34" t="e">
        <f>IF(#REF!,"AAAAAH//vzA=",0)</f>
        <v>#REF!</v>
      </c>
      <c r="AX71" s="34" t="e">
        <f>IF(#REF!,"AAAAAH//vzE=",0)</f>
        <v>#REF!</v>
      </c>
      <c r="AY71" s="34" t="e">
        <f>IF(#REF!,"AAAAAH//vzI=",0)</f>
        <v>#REF!</v>
      </c>
      <c r="AZ71" s="34" t="e">
        <f>IF(#REF!,"AAAAAH//vzM=",0)</f>
        <v>#REF!</v>
      </c>
      <c r="BA71" s="34" t="e">
        <f>IF(#REF!,"AAAAAH//vzQ=",0)</f>
        <v>#REF!</v>
      </c>
      <c r="BB71" s="34" t="e">
        <f>IF(#REF!,"AAAAAH//vzU=",0)</f>
        <v>#REF!</v>
      </c>
      <c r="BC71" s="34" t="e">
        <f>IF(#REF!,"AAAAAH//vzY=",0)</f>
        <v>#REF!</v>
      </c>
      <c r="BD71" s="34" t="e">
        <f>IF(#REF!,"AAAAAH//vzc=",0)</f>
        <v>#REF!</v>
      </c>
      <c r="BE71" s="34" t="e">
        <f>IF(#REF!,"AAAAAH//vzg=",0)</f>
        <v>#REF!</v>
      </c>
      <c r="BF71" s="34" t="e">
        <f>IF(#REF!,"AAAAAH//vzk=",0)</f>
        <v>#REF!</v>
      </c>
      <c r="BG71" s="34" t="e">
        <f>IF(#REF!,"AAAAAH//vzo=",0)</f>
        <v>#REF!</v>
      </c>
      <c r="BH71" s="34" t="e">
        <f>IF(#REF!,"AAAAAH//vzs=",0)</f>
        <v>#REF!</v>
      </c>
      <c r="BI71" s="34" t="e">
        <f>IF(#REF!,"AAAAAH//vzw=",0)</f>
        <v>#REF!</v>
      </c>
      <c r="BJ71" s="34" t="e">
        <f>IF(#REF!,"AAAAAH//vz0=",0)</f>
        <v>#REF!</v>
      </c>
      <c r="BK71" s="34" t="e">
        <f>IF(#REF!,"AAAAAH//vz4=",0)</f>
        <v>#REF!</v>
      </c>
      <c r="BL71" s="34" t="e">
        <f>IF(#REF!,"AAAAAH//vz8=",0)</f>
        <v>#REF!</v>
      </c>
      <c r="BM71" s="34" t="e">
        <f>IF(#REF!,"AAAAAH//v0A=",0)</f>
        <v>#REF!</v>
      </c>
      <c r="BN71" s="34" t="e">
        <f>IF(#REF!,"AAAAAH//v0E=",0)</f>
        <v>#REF!</v>
      </c>
      <c r="BO71" s="34" t="e">
        <f>IF(#REF!,"AAAAAH//v0I=",0)</f>
        <v>#REF!</v>
      </c>
      <c r="BP71" s="34" t="e">
        <f>IF(#REF!,"AAAAAH//v0M=",0)</f>
        <v>#REF!</v>
      </c>
      <c r="BQ71" s="34" t="e">
        <f>IF(#REF!,"AAAAAH//v0Q=",0)</f>
        <v>#REF!</v>
      </c>
      <c r="BR71" s="34" t="e">
        <f>IF(#REF!,"AAAAAH//v0U=",0)</f>
        <v>#REF!</v>
      </c>
      <c r="BS71" s="34" t="e">
        <f>IF(#REF!,"AAAAAH//v0Y=",0)</f>
        <v>#REF!</v>
      </c>
      <c r="BT71" s="34" t="e">
        <f>IF(#REF!,"AAAAAH//v0c=",0)</f>
        <v>#REF!</v>
      </c>
      <c r="BU71" s="34" t="e">
        <f>IF(#REF!,"AAAAAH//v0g=",0)</f>
        <v>#REF!</v>
      </c>
      <c r="BV71" s="34" t="e">
        <f>IF(#REF!,"AAAAAH//v0k=",0)</f>
        <v>#REF!</v>
      </c>
      <c r="BW71" s="34" t="e">
        <f>IF(#REF!,"AAAAAH//v0o=",0)</f>
        <v>#REF!</v>
      </c>
      <c r="BX71" s="34" t="e">
        <f>IF(#REF!,"AAAAAH//v0s=",0)</f>
        <v>#REF!</v>
      </c>
      <c r="BY71" s="34" t="e">
        <f>IF(#REF!,"AAAAAH//v0w=",0)</f>
        <v>#REF!</v>
      </c>
      <c r="BZ71" s="34" t="e">
        <f>IF(#REF!,"AAAAAH//v00=",0)</f>
        <v>#REF!</v>
      </c>
      <c r="CA71" s="34" t="e">
        <f>IF(#REF!,"AAAAAH//v04=",0)</f>
        <v>#REF!</v>
      </c>
      <c r="CB71" s="34" t="e">
        <f>IF(#REF!,"AAAAAH//v08=",0)</f>
        <v>#REF!</v>
      </c>
      <c r="CC71" s="34" t="e">
        <f>IF(#REF!,"AAAAAH//v1A=",0)</f>
        <v>#REF!</v>
      </c>
      <c r="CD71" s="34" t="e">
        <f>IF(#REF!,"AAAAAH//v1E=",0)</f>
        <v>#REF!</v>
      </c>
      <c r="CE71" s="34" t="e">
        <f>IF(#REF!,"AAAAAH//v1I=",0)</f>
        <v>#REF!</v>
      </c>
      <c r="CF71" s="34" t="e">
        <f>IF(#REF!,"AAAAAH//v1M=",0)</f>
        <v>#REF!</v>
      </c>
      <c r="CG71" s="34" t="e">
        <f>IF(#REF!,"AAAAAH//v1Q=",0)</f>
        <v>#REF!</v>
      </c>
      <c r="CH71" s="34" t="e">
        <f>IF(#REF!,"AAAAAH//v1U=",0)</f>
        <v>#REF!</v>
      </c>
      <c r="CI71" s="34" t="e">
        <f>IF(#REF!,"AAAAAH//v1Y=",0)</f>
        <v>#REF!</v>
      </c>
      <c r="CJ71" s="34" t="e">
        <f>IF(#REF!,"AAAAAH//v1c=",0)</f>
        <v>#REF!</v>
      </c>
      <c r="CK71" s="34" t="e">
        <f>IF(#REF!,"AAAAAH//v1g=",0)</f>
        <v>#REF!</v>
      </c>
      <c r="CL71" s="34" t="e">
        <f>IF(#REF!,"AAAAAH//v1k=",0)</f>
        <v>#REF!</v>
      </c>
      <c r="CM71" s="34" t="e">
        <f>IF(#REF!,"AAAAAH//v1o=",0)</f>
        <v>#REF!</v>
      </c>
      <c r="CN71" s="34" t="e">
        <f>IF(#REF!,"AAAAAH//v1s=",0)</f>
        <v>#REF!</v>
      </c>
      <c r="CO71" s="34" t="e">
        <f>IF(#REF!,"AAAAAH//v1w=",0)</f>
        <v>#REF!</v>
      </c>
      <c r="CP71" s="34" t="e">
        <f>IF(#REF!,"AAAAAH//v10=",0)</f>
        <v>#REF!</v>
      </c>
      <c r="CQ71" s="34" t="e">
        <f>IF(#REF!,"AAAAAH//v14=",0)</f>
        <v>#REF!</v>
      </c>
      <c r="CR71" s="34" t="e">
        <f>IF(#REF!,"AAAAAH//v18=",0)</f>
        <v>#REF!</v>
      </c>
      <c r="CS71" s="34" t="e">
        <f>IF(#REF!,"AAAAAH//v2A=",0)</f>
        <v>#REF!</v>
      </c>
      <c r="CT71" s="34" t="e">
        <f>IF(#REF!,"AAAAAH//v2E=",0)</f>
        <v>#REF!</v>
      </c>
      <c r="CU71" s="34" t="e">
        <f>IF(#REF!,"AAAAAH//v2I=",0)</f>
        <v>#REF!</v>
      </c>
      <c r="CV71" s="34" t="e">
        <f>IF(#REF!,"AAAAAH//v2M=",0)</f>
        <v>#REF!</v>
      </c>
      <c r="CW71" s="34" t="e">
        <f>IF(#REF!,"AAAAAH//v2Q=",0)</f>
        <v>#REF!</v>
      </c>
      <c r="CX71" s="34" t="e">
        <f>IF(#REF!,"AAAAAH//v2U=",0)</f>
        <v>#REF!</v>
      </c>
      <c r="CY71" s="34" t="e">
        <f>IF(#REF!,"AAAAAH//v2Y=",0)</f>
        <v>#REF!</v>
      </c>
      <c r="CZ71" s="34" t="e">
        <f>IF(#REF!,"AAAAAH//v2c=",0)</f>
        <v>#REF!</v>
      </c>
      <c r="DA71" s="34" t="e">
        <f>IF(#REF!,"AAAAAH//v2g=",0)</f>
        <v>#REF!</v>
      </c>
      <c r="DB71" s="34" t="e">
        <f>IF(#REF!,"AAAAAH//v2k=",0)</f>
        <v>#REF!</v>
      </c>
      <c r="DC71" s="34" t="e">
        <f>IF(#REF!,"AAAAAH//v2o=",0)</f>
        <v>#REF!</v>
      </c>
      <c r="DD71" s="34" t="e">
        <f>IF(#REF!,"AAAAAH//v2s=",0)</f>
        <v>#REF!</v>
      </c>
      <c r="DE71" s="34" t="e">
        <f>IF(#REF!,"AAAAAH//v2w=",0)</f>
        <v>#REF!</v>
      </c>
      <c r="DF71" s="34" t="e">
        <f>IF(#REF!,"AAAAAH//v20=",0)</f>
        <v>#REF!</v>
      </c>
      <c r="DG71" s="34" t="e">
        <f>IF(#REF!,"AAAAAH//v24=",0)</f>
        <v>#REF!</v>
      </c>
      <c r="DH71" s="34" t="e">
        <f>IF(#REF!,"AAAAAH//v28=",0)</f>
        <v>#REF!</v>
      </c>
      <c r="DI71" s="34" t="e">
        <f>IF(#REF!,"AAAAAH//v3A=",0)</f>
        <v>#REF!</v>
      </c>
      <c r="DJ71" s="34" t="e">
        <f>IF(#REF!,"AAAAAH//v3E=",0)</f>
        <v>#REF!</v>
      </c>
      <c r="DK71" s="34" t="e">
        <f>IF(#REF!,"AAAAAH//v3I=",0)</f>
        <v>#REF!</v>
      </c>
      <c r="DL71" s="34" t="e">
        <f>IF(#REF!,"AAAAAH//v3M=",0)</f>
        <v>#REF!</v>
      </c>
      <c r="DM71" s="34" t="e">
        <f>IF(#REF!,"AAAAAH//v3Q=",0)</f>
        <v>#REF!</v>
      </c>
      <c r="DN71" s="34" t="e">
        <f>IF(#REF!,"AAAAAH//v3U=",0)</f>
        <v>#REF!</v>
      </c>
      <c r="DO71" s="34" t="e">
        <f>IF(#REF!,"AAAAAH//v3Y=",0)</f>
        <v>#REF!</v>
      </c>
      <c r="DP71" s="34" t="e">
        <f>IF(#REF!,"AAAAAH//v3c=",0)</f>
        <v>#REF!</v>
      </c>
      <c r="DQ71" s="34" t="e">
        <f>IF(#REF!,"AAAAAH//v3g=",0)</f>
        <v>#REF!</v>
      </c>
      <c r="DR71" s="34" t="e">
        <f>IF(#REF!,"AAAAAH//v3k=",0)</f>
        <v>#REF!</v>
      </c>
      <c r="DS71" s="34" t="e">
        <f>IF(#REF!,"AAAAAH//v3o=",0)</f>
        <v>#REF!</v>
      </c>
      <c r="DT71" s="34" t="e">
        <f>IF(#REF!,"AAAAAH//v3s=",0)</f>
        <v>#REF!</v>
      </c>
      <c r="DU71" s="34" t="e">
        <f>IF(#REF!,"AAAAAH//v3w=",0)</f>
        <v>#REF!</v>
      </c>
      <c r="DV71" s="34" t="e">
        <f>IF(#REF!,"AAAAAH//v30=",0)</f>
        <v>#REF!</v>
      </c>
      <c r="DW71" s="34" t="e">
        <f>IF(#REF!,"AAAAAH//v34=",0)</f>
        <v>#REF!</v>
      </c>
      <c r="DX71" s="34" t="e">
        <f>IF(#REF!,"AAAAAH//v38=",0)</f>
        <v>#REF!</v>
      </c>
      <c r="DY71" s="34" t="e">
        <f>IF(#REF!,"AAAAAH//v4A=",0)</f>
        <v>#REF!</v>
      </c>
      <c r="DZ71" s="34" t="e">
        <f>IF(#REF!,"AAAAAH//v4E=",0)</f>
        <v>#REF!</v>
      </c>
      <c r="EA71" s="34" t="e">
        <f>IF(#REF!,"AAAAAH//v4I=",0)</f>
        <v>#REF!</v>
      </c>
      <c r="EB71" s="34" t="e">
        <f>IF(#REF!,"AAAAAH//v4M=",0)</f>
        <v>#REF!</v>
      </c>
      <c r="EC71" s="34" t="e">
        <f>IF(#REF!,"AAAAAH//v4Q=",0)</f>
        <v>#REF!</v>
      </c>
      <c r="ED71" s="34" t="e">
        <f>IF(#REF!,"AAAAAH//v4U=",0)</f>
        <v>#REF!</v>
      </c>
      <c r="EE71" s="34" t="e">
        <f>IF(#REF!,"AAAAAH//v4Y=",0)</f>
        <v>#REF!</v>
      </c>
      <c r="EF71" s="34" t="e">
        <f>IF(#REF!,"AAAAAH//v4c=",0)</f>
        <v>#REF!</v>
      </c>
      <c r="EG71" s="34" t="e">
        <f>IF(#REF!,"AAAAAH//v4g=",0)</f>
        <v>#REF!</v>
      </c>
      <c r="EH71" s="34" t="e">
        <f>IF(#REF!,"AAAAAH//v4k=",0)</f>
        <v>#REF!</v>
      </c>
      <c r="EI71" s="34" t="e">
        <f>IF(#REF!,"AAAAAH//v4o=",0)</f>
        <v>#REF!</v>
      </c>
      <c r="EJ71" s="34" t="e">
        <f>IF(#REF!,"AAAAAH//v4s=",0)</f>
        <v>#REF!</v>
      </c>
      <c r="EK71" s="34" t="e">
        <f>IF(#REF!,"AAAAAH//v4w=",0)</f>
        <v>#REF!</v>
      </c>
      <c r="EL71" s="34" t="e">
        <f>IF(#REF!,"AAAAAH//v40=",0)</f>
        <v>#REF!</v>
      </c>
      <c r="EM71" s="34" t="e">
        <f>IF(#REF!,"AAAAAH//v44=",0)</f>
        <v>#REF!</v>
      </c>
      <c r="EN71" s="34" t="e">
        <f>IF(#REF!,"AAAAAH//v48=",0)</f>
        <v>#REF!</v>
      </c>
      <c r="EO71" s="34" t="e">
        <f>IF(#REF!,"AAAAAH//v5A=",0)</f>
        <v>#REF!</v>
      </c>
      <c r="EP71" s="34" t="e">
        <f>IF(#REF!,"AAAAAH//v5E=",0)</f>
        <v>#REF!</v>
      </c>
      <c r="EQ71" s="34" t="e">
        <f>IF(#REF!,"AAAAAH//v5I=",0)</f>
        <v>#REF!</v>
      </c>
      <c r="ER71" s="34" t="e">
        <f>IF(#REF!,"AAAAAH//v5M=",0)</f>
        <v>#REF!</v>
      </c>
      <c r="ES71" s="34" t="e">
        <f>IF(#REF!,"AAAAAH//v5Q=",0)</f>
        <v>#REF!</v>
      </c>
      <c r="ET71" s="34" t="e">
        <f>IF(#REF!,"AAAAAH//v5U=",0)</f>
        <v>#REF!</v>
      </c>
      <c r="EU71" s="34" t="e">
        <f>IF(#REF!,"AAAAAH//v5Y=",0)</f>
        <v>#REF!</v>
      </c>
      <c r="EV71" s="34" t="e">
        <f>IF(#REF!,"AAAAAH//v5c=",0)</f>
        <v>#REF!</v>
      </c>
      <c r="EW71" s="34" t="e">
        <f>IF(#REF!,"AAAAAH//v5g=",0)</f>
        <v>#REF!</v>
      </c>
      <c r="EX71" s="34" t="e">
        <f>IF(#REF!,"AAAAAH//v5k=",0)</f>
        <v>#REF!</v>
      </c>
      <c r="EY71" s="34" t="e">
        <f>IF(#REF!,"AAAAAH//v5o=",0)</f>
        <v>#REF!</v>
      </c>
      <c r="EZ71" s="34" t="e">
        <f>IF(#REF!,"AAAAAH//v5s=",0)</f>
        <v>#REF!</v>
      </c>
      <c r="FA71" s="34" t="e">
        <f>IF(#REF!,"AAAAAH//v5w=",0)</f>
        <v>#REF!</v>
      </c>
      <c r="FB71" s="34" t="e">
        <f>IF(#REF!,"AAAAAH//v50=",0)</f>
        <v>#REF!</v>
      </c>
      <c r="FC71" s="34" t="e">
        <f>IF(#REF!,"AAAAAH//v54=",0)</f>
        <v>#REF!</v>
      </c>
      <c r="FD71" s="34" t="e">
        <f>IF(#REF!,"AAAAAH//v58=",0)</f>
        <v>#REF!</v>
      </c>
      <c r="FE71" s="34" t="e">
        <f>IF(#REF!,"AAAAAH//v6A=",0)</f>
        <v>#REF!</v>
      </c>
      <c r="FF71" s="34" t="e">
        <f>IF(#REF!,"AAAAAH//v6E=",0)</f>
        <v>#REF!</v>
      </c>
      <c r="FG71" s="34" t="e">
        <f>IF(#REF!,"AAAAAH//v6I=",0)</f>
        <v>#REF!</v>
      </c>
      <c r="FH71" s="34" t="e">
        <f>IF(#REF!,"AAAAAH//v6M=",0)</f>
        <v>#REF!</v>
      </c>
      <c r="FI71" s="34" t="e">
        <f>IF(#REF!,"AAAAAH//v6Q=",0)</f>
        <v>#REF!</v>
      </c>
      <c r="FJ71" s="34" t="e">
        <f>IF(#REF!,"AAAAAH//v6U=",0)</f>
        <v>#REF!</v>
      </c>
      <c r="FK71" s="34" t="e">
        <f>IF(#REF!,"AAAAAH//v6Y=",0)</f>
        <v>#REF!</v>
      </c>
      <c r="FL71" s="34" t="e">
        <f>IF(#REF!,"AAAAAH//v6c=",0)</f>
        <v>#REF!</v>
      </c>
      <c r="FM71" s="34" t="e">
        <f>IF(#REF!,"AAAAAH//v6g=",0)</f>
        <v>#REF!</v>
      </c>
      <c r="FN71" s="34" t="e">
        <f>IF(#REF!,"AAAAAH//v6k=",0)</f>
        <v>#REF!</v>
      </c>
      <c r="FO71" s="34" t="e">
        <f>IF(#REF!,"AAAAAH//v6o=",0)</f>
        <v>#REF!</v>
      </c>
      <c r="FP71" s="34" t="e">
        <f>IF(#REF!,"AAAAAH//v6s=",0)</f>
        <v>#REF!</v>
      </c>
      <c r="FQ71" s="34" t="e">
        <f>IF(#REF!,"AAAAAH//v6w=",0)</f>
        <v>#REF!</v>
      </c>
      <c r="FR71" s="34" t="e">
        <f>IF(#REF!,"AAAAAH//v60=",0)</f>
        <v>#REF!</v>
      </c>
      <c r="FS71" s="34" t="e">
        <f>IF(#REF!,"AAAAAH//v64=",0)</f>
        <v>#REF!</v>
      </c>
      <c r="FT71" s="34" t="e">
        <f>IF(#REF!,"AAAAAH//v68=",0)</f>
        <v>#REF!</v>
      </c>
      <c r="FU71" s="34" t="e">
        <f>IF(#REF!,"AAAAAH//v7A=",0)</f>
        <v>#REF!</v>
      </c>
      <c r="FV71" s="34" t="e">
        <f>IF(#REF!,"AAAAAH//v7E=",0)</f>
        <v>#REF!</v>
      </c>
      <c r="FW71" s="34" t="e">
        <f>IF(#REF!,"AAAAAH//v7I=",0)</f>
        <v>#REF!</v>
      </c>
      <c r="FX71" s="34" t="e">
        <f>IF(#REF!,"AAAAAH//v7M=",0)</f>
        <v>#REF!</v>
      </c>
      <c r="FY71" s="34" t="e">
        <f>IF(#REF!,"AAAAAH//v7Q=",0)</f>
        <v>#REF!</v>
      </c>
      <c r="FZ71" s="34" t="e">
        <f>IF(#REF!,"AAAAAH//v7U=",0)</f>
        <v>#REF!</v>
      </c>
      <c r="GA71" s="34" t="e">
        <f>IF(#REF!,"AAAAAH//v7Y=",0)</f>
        <v>#REF!</v>
      </c>
      <c r="GB71" s="34" t="e">
        <f>IF(#REF!,"AAAAAH//v7c=",0)</f>
        <v>#REF!</v>
      </c>
      <c r="GC71" s="34" t="e">
        <f>IF(#REF!,"AAAAAH//v7g=",0)</f>
        <v>#REF!</v>
      </c>
      <c r="GD71" s="34" t="e">
        <f>IF(#REF!,"AAAAAH//v7k=",0)</f>
        <v>#REF!</v>
      </c>
      <c r="GE71" s="34" t="e">
        <f>IF(#REF!,"AAAAAH//v7o=",0)</f>
        <v>#REF!</v>
      </c>
      <c r="GF71" s="34" t="e">
        <f>IF(#REF!,"AAAAAH//v7s=",0)</f>
        <v>#REF!</v>
      </c>
      <c r="GG71" s="34" t="e">
        <f>IF(#REF!,"AAAAAH//v7w=",0)</f>
        <v>#REF!</v>
      </c>
      <c r="GH71" s="34" t="e">
        <f>IF(#REF!,"AAAAAH//v70=",0)</f>
        <v>#REF!</v>
      </c>
      <c r="GI71" s="34" t="e">
        <f>IF(#REF!,"AAAAAH//v74=",0)</f>
        <v>#REF!</v>
      </c>
      <c r="GJ71" s="34" t="e">
        <f>IF(#REF!,"AAAAAH//v78=",0)</f>
        <v>#REF!</v>
      </c>
      <c r="GK71" s="34" t="e">
        <f>IF(#REF!,"AAAAAH//v8A=",0)</f>
        <v>#REF!</v>
      </c>
      <c r="GL71" s="34" t="e">
        <f>IF(#REF!,"AAAAAH//v8E=",0)</f>
        <v>#REF!</v>
      </c>
      <c r="GM71" s="34" t="e">
        <f>IF(#REF!,"AAAAAH//v8I=",0)</f>
        <v>#REF!</v>
      </c>
      <c r="GN71" s="34" t="e">
        <f>IF(#REF!,"AAAAAH//v8M=",0)</f>
        <v>#REF!</v>
      </c>
      <c r="GO71" s="34" t="e">
        <f>IF(#REF!,"AAAAAH//v8Q=",0)</f>
        <v>#REF!</v>
      </c>
      <c r="GP71" s="34" t="e">
        <f>IF(#REF!,"AAAAAH//v8U=",0)</f>
        <v>#REF!</v>
      </c>
      <c r="GQ71" s="34" t="e">
        <f>IF(#REF!,"AAAAAH//v8Y=",0)</f>
        <v>#REF!</v>
      </c>
      <c r="GR71" s="34" t="e">
        <f>IF(#REF!,"AAAAAH//v8c=",0)</f>
        <v>#REF!</v>
      </c>
      <c r="GS71" s="34" t="e">
        <f>IF(#REF!,"AAAAAH//v8g=",0)</f>
        <v>#REF!</v>
      </c>
      <c r="GT71" s="34" t="e">
        <f>IF(#REF!,"AAAAAH//v8k=",0)</f>
        <v>#REF!</v>
      </c>
      <c r="GU71" s="34" t="e">
        <f>IF(#REF!,"AAAAAH//v8o=",0)</f>
        <v>#REF!</v>
      </c>
      <c r="GV71" s="34" t="e">
        <f>IF(#REF!,"AAAAAH//v8s=",0)</f>
        <v>#REF!</v>
      </c>
      <c r="GW71" s="34" t="e">
        <f>IF(#REF!,"AAAAAH//v8w=",0)</f>
        <v>#REF!</v>
      </c>
      <c r="GX71" s="34" t="e">
        <f>IF(#REF!,"AAAAAH//v80=",0)</f>
        <v>#REF!</v>
      </c>
      <c r="GY71" s="34" t="e">
        <f>IF(#REF!,"AAAAAH//v84=",0)</f>
        <v>#REF!</v>
      </c>
      <c r="GZ71" s="34" t="e">
        <f>IF(#REF!,"AAAAAH//v88=",0)</f>
        <v>#REF!</v>
      </c>
      <c r="HA71" s="34" t="e">
        <f>IF(#REF!,"AAAAAH//v9A=",0)</f>
        <v>#REF!</v>
      </c>
      <c r="HB71" s="34" t="e">
        <f>IF(#REF!,"AAAAAH//v9E=",0)</f>
        <v>#REF!</v>
      </c>
      <c r="HC71" s="34" t="e">
        <f>IF(#REF!,"AAAAAH//v9I=",0)</f>
        <v>#REF!</v>
      </c>
      <c r="HD71" s="34" t="e">
        <f>IF(#REF!,"AAAAAH//v9M=",0)</f>
        <v>#REF!</v>
      </c>
      <c r="HE71" s="34" t="e">
        <f>IF(#REF!,"AAAAAH//v9Q=",0)</f>
        <v>#REF!</v>
      </c>
      <c r="HF71" s="34" t="e">
        <f>IF(#REF!,"AAAAAH//v9U=",0)</f>
        <v>#REF!</v>
      </c>
      <c r="HG71" s="34" t="e">
        <f>IF(#REF!,"AAAAAH//v9Y=",0)</f>
        <v>#REF!</v>
      </c>
      <c r="HH71" s="34" t="e">
        <f>IF(#REF!,"AAAAAH//v9c=",0)</f>
        <v>#REF!</v>
      </c>
      <c r="HI71" s="34" t="e">
        <f>IF(#REF!,"AAAAAH//v9g=",0)</f>
        <v>#REF!</v>
      </c>
      <c r="HJ71" s="34" t="e">
        <f>IF(#REF!,"AAAAAH//v9k=",0)</f>
        <v>#REF!</v>
      </c>
      <c r="HK71" s="34" t="e">
        <f>IF(#REF!,"AAAAAH//v9o=",0)</f>
        <v>#REF!</v>
      </c>
      <c r="HL71" s="34" t="e">
        <f>IF(#REF!,"AAAAAH//v9s=",0)</f>
        <v>#REF!</v>
      </c>
      <c r="HM71" s="34" t="e">
        <f>IF(#REF!,"AAAAAH//v9w=",0)</f>
        <v>#REF!</v>
      </c>
      <c r="HN71" s="34" t="e">
        <f>IF(#REF!,"AAAAAH//v90=",0)</f>
        <v>#REF!</v>
      </c>
      <c r="HO71" s="34" t="e">
        <f>IF(#REF!,"AAAAAH//v94=",0)</f>
        <v>#REF!</v>
      </c>
      <c r="HP71" s="34" t="e">
        <f>IF(#REF!,"AAAAAH//v98=",0)</f>
        <v>#REF!</v>
      </c>
      <c r="HQ71" s="34" t="e">
        <f>IF(#REF!,"AAAAAH//v+A=",0)</f>
        <v>#REF!</v>
      </c>
      <c r="HR71" s="34" t="e">
        <f>IF(#REF!,"AAAAAH//v+E=",0)</f>
        <v>#REF!</v>
      </c>
      <c r="HS71" s="34" t="e">
        <f>IF(#REF!,"AAAAAH//v+I=",0)</f>
        <v>#REF!</v>
      </c>
      <c r="HT71" s="34" t="e">
        <f>IF(#REF!,"AAAAAH//v+M=",0)</f>
        <v>#REF!</v>
      </c>
      <c r="HU71" s="34" t="e">
        <f>IF(#REF!,"AAAAAH//v+Q=",0)</f>
        <v>#REF!</v>
      </c>
      <c r="HV71" s="34" t="e">
        <f>IF(#REF!,"AAAAAH//v+U=",0)</f>
        <v>#REF!</v>
      </c>
      <c r="HW71" s="34" t="e">
        <f>IF(#REF!,"AAAAAH//v+Y=",0)</f>
        <v>#REF!</v>
      </c>
      <c r="HX71" s="34" t="e">
        <f>IF(#REF!,"AAAAAH//v+c=",0)</f>
        <v>#REF!</v>
      </c>
      <c r="HY71" s="34" t="e">
        <f>IF(#REF!,"AAAAAH//v+g=",0)</f>
        <v>#REF!</v>
      </c>
      <c r="HZ71" s="34" t="e">
        <f>IF(#REF!,"AAAAAH//v+k=",0)</f>
        <v>#REF!</v>
      </c>
      <c r="IA71" s="34" t="e">
        <f>IF(#REF!,"AAAAAH//v+o=",0)</f>
        <v>#REF!</v>
      </c>
      <c r="IB71" s="34" t="e">
        <f>IF(#REF!,"AAAAAH//v+s=",0)</f>
        <v>#REF!</v>
      </c>
      <c r="IC71" s="34" t="e">
        <f>IF(#REF!,"AAAAAH//v+w=",0)</f>
        <v>#REF!</v>
      </c>
      <c r="ID71" s="34" t="e">
        <f>IF(#REF!,"AAAAAH//v+0=",0)</f>
        <v>#REF!</v>
      </c>
      <c r="IE71" s="34" t="e">
        <f>IF(#REF!,"AAAAAH//v+4=",0)</f>
        <v>#REF!</v>
      </c>
      <c r="IF71" s="34" t="e">
        <f>IF(#REF!,"AAAAAH//v+8=",0)</f>
        <v>#REF!</v>
      </c>
      <c r="IG71" s="34" t="e">
        <f>IF(#REF!,"AAAAAH//v/A=",0)</f>
        <v>#REF!</v>
      </c>
      <c r="IH71" s="34" t="e">
        <f>IF(#REF!,"AAAAAH//v/E=",0)</f>
        <v>#REF!</v>
      </c>
      <c r="II71" s="34" t="e">
        <f>IF(#REF!,"AAAAAH//v/I=",0)</f>
        <v>#REF!</v>
      </c>
      <c r="IJ71" s="34" t="e">
        <f>IF(#REF!,"AAAAAH//v/M=",0)</f>
        <v>#REF!</v>
      </c>
      <c r="IK71" s="34" t="e">
        <f>IF(#REF!,"AAAAAH//v/Q=",0)</f>
        <v>#REF!</v>
      </c>
      <c r="IL71" s="34" t="e">
        <f>IF(#REF!,"AAAAAH//v/U=",0)</f>
        <v>#REF!</v>
      </c>
      <c r="IM71" s="34" t="e">
        <f>IF(#REF!,"AAAAAH//v/Y=",0)</f>
        <v>#REF!</v>
      </c>
      <c r="IN71" s="34" t="e">
        <f>IF(#REF!,"AAAAAH//v/c=",0)</f>
        <v>#REF!</v>
      </c>
      <c r="IO71" s="34" t="e">
        <f>IF(#REF!,"AAAAAH//v/g=",0)</f>
        <v>#REF!</v>
      </c>
      <c r="IP71" s="34" t="e">
        <f>IF(#REF!,"AAAAAH//v/k=",0)</f>
        <v>#REF!</v>
      </c>
      <c r="IQ71" s="34" t="e">
        <f>IF(#REF!,"AAAAAH//v/o=",0)</f>
        <v>#REF!</v>
      </c>
      <c r="IR71" s="34" t="e">
        <f>IF(#REF!,"AAAAAH//v/s=",0)</f>
        <v>#REF!</v>
      </c>
      <c r="IS71" s="34" t="e">
        <f>IF(#REF!,"AAAAAH//v/w=",0)</f>
        <v>#REF!</v>
      </c>
      <c r="IT71" s="34" t="e">
        <f>IF(#REF!,"AAAAAH//v/0=",0)</f>
        <v>#REF!</v>
      </c>
      <c r="IU71" s="34" t="e">
        <f>IF(#REF!,"AAAAAH//v/4=",0)</f>
        <v>#REF!</v>
      </c>
      <c r="IV71" s="34" t="e">
        <f>IF(#REF!,"AAAAAH//v/8=",0)</f>
        <v>#REF!</v>
      </c>
    </row>
    <row r="72" spans="1:256" ht="12.75" customHeight="1" x14ac:dyDescent="0.2">
      <c r="A72" s="34" t="e">
        <f>IF(#REF!,"AAAAAF/9+gA=",0)</f>
        <v>#REF!</v>
      </c>
      <c r="B72" s="34" t="e">
        <f>IF(#REF!,"AAAAAF/9+gE=",0)</f>
        <v>#REF!</v>
      </c>
      <c r="C72" s="34" t="e">
        <f>IF(#REF!,"AAAAAF/9+gI=",0)</f>
        <v>#REF!</v>
      </c>
      <c r="D72" s="34" t="e">
        <f>IF(#REF!,"AAAAAF/9+gM=",0)</f>
        <v>#REF!</v>
      </c>
      <c r="E72" s="34" t="e">
        <f>IF(#REF!,"AAAAAF/9+gQ=",0)</f>
        <v>#REF!</v>
      </c>
      <c r="F72" s="34" t="e">
        <f>IF(#REF!,"AAAAAF/9+gU=",0)</f>
        <v>#REF!</v>
      </c>
      <c r="G72" s="34" t="e">
        <f>IF(#REF!,"AAAAAF/9+gY=",0)</f>
        <v>#REF!</v>
      </c>
      <c r="H72" s="34" t="e">
        <f>IF(#REF!,"AAAAAF/9+gc=",0)</f>
        <v>#REF!</v>
      </c>
      <c r="I72" s="34" t="e">
        <f>IF(#REF!,"AAAAAF/9+gg=",0)</f>
        <v>#REF!</v>
      </c>
      <c r="J72" s="34" t="e">
        <f>IF(#REF!,"AAAAAF/9+gk=",0)</f>
        <v>#REF!</v>
      </c>
      <c r="K72" s="34" t="e">
        <f>IF(#REF!,"AAAAAF/9+go=",0)</f>
        <v>#REF!</v>
      </c>
      <c r="L72" s="34" t="e">
        <f>IF(#REF!,"AAAAAF/9+gs=",0)</f>
        <v>#REF!</v>
      </c>
      <c r="M72" s="34" t="e">
        <f>IF(#REF!,"AAAAAF/9+gw=",0)</f>
        <v>#REF!</v>
      </c>
      <c r="N72" s="34" t="e">
        <f>IF(#REF!,"AAAAAF/9+g0=",0)</f>
        <v>#REF!</v>
      </c>
      <c r="O72" s="34" t="e">
        <f>IF(#REF!,"AAAAAF/9+g4=",0)</f>
        <v>#REF!</v>
      </c>
      <c r="P72" s="34" t="e">
        <f>IF(#REF!,"AAAAAF/9+g8=",0)</f>
        <v>#REF!</v>
      </c>
      <c r="Q72" s="34" t="e">
        <f>IF(#REF!,"AAAAAF/9+hA=",0)</f>
        <v>#REF!</v>
      </c>
      <c r="R72" s="34" t="e">
        <f>IF(#REF!,"AAAAAF/9+hE=",0)</f>
        <v>#REF!</v>
      </c>
      <c r="S72" s="34" t="e">
        <f>IF(#REF!,"AAAAAF/9+hI=",0)</f>
        <v>#REF!</v>
      </c>
      <c r="T72" s="34" t="e">
        <f>IF(#REF!,"AAAAAF/9+hM=",0)</f>
        <v>#REF!</v>
      </c>
      <c r="U72" s="34" t="e">
        <f>IF(#REF!,"AAAAAF/9+hQ=",0)</f>
        <v>#REF!</v>
      </c>
      <c r="V72" s="34" t="e">
        <f>IF(#REF!,"AAAAAF/9+hU=",0)</f>
        <v>#REF!</v>
      </c>
      <c r="W72" s="34" t="e">
        <f>IF(#REF!,"AAAAAF/9+hY=",0)</f>
        <v>#REF!</v>
      </c>
      <c r="X72" s="34" t="e">
        <f>IF(#REF!,"AAAAAF/9+hc=",0)</f>
        <v>#REF!</v>
      </c>
      <c r="Y72" s="34" t="e">
        <f>IF(#REF!,"AAAAAF/9+hg=",0)</f>
        <v>#REF!</v>
      </c>
      <c r="Z72" s="34" t="e">
        <f>IF(#REF!,"AAAAAF/9+hk=",0)</f>
        <v>#REF!</v>
      </c>
      <c r="AA72" s="34" t="e">
        <f>IF(#REF!,"AAAAAF/9+ho=",0)</f>
        <v>#REF!</v>
      </c>
      <c r="AB72" s="34" t="e">
        <f>IF(#REF!,"AAAAAF/9+hs=",0)</f>
        <v>#REF!</v>
      </c>
      <c r="AC72" s="34" t="e">
        <f>IF(#REF!,"AAAAAF/9+hw=",0)</f>
        <v>#REF!</v>
      </c>
      <c r="AD72" s="34" t="e">
        <f>IF(#REF!,"AAAAAF/9+h0=",0)</f>
        <v>#REF!</v>
      </c>
      <c r="AE72" s="34" t="e">
        <f>IF(#REF!,"AAAAAF/9+h4=",0)</f>
        <v>#REF!</v>
      </c>
      <c r="AF72" s="34" t="e">
        <f>IF(#REF!,"AAAAAF/9+h8=",0)</f>
        <v>#REF!</v>
      </c>
      <c r="AG72" s="34" t="e">
        <f>IF(#REF!,"AAAAAF/9+iA=",0)</f>
        <v>#REF!</v>
      </c>
      <c r="AH72" s="34" t="e">
        <f>IF(#REF!,"AAAAAF/9+iE=",0)</f>
        <v>#REF!</v>
      </c>
      <c r="AI72" s="34" t="e">
        <f>IF(#REF!,"AAAAAF/9+iI=",0)</f>
        <v>#REF!</v>
      </c>
      <c r="AJ72" s="34" t="e">
        <f>IF(#REF!,"AAAAAF/9+iM=",0)</f>
        <v>#REF!</v>
      </c>
      <c r="AK72" s="34" t="e">
        <f>IF(#REF!,"AAAAAF/9+iQ=",0)</f>
        <v>#REF!</v>
      </c>
      <c r="AL72" s="34" t="e">
        <f>IF(#REF!,"AAAAAF/9+iU=",0)</f>
        <v>#REF!</v>
      </c>
      <c r="AM72" s="34" t="e">
        <f>IF(#REF!,"AAAAAF/9+iY=",0)</f>
        <v>#REF!</v>
      </c>
      <c r="AN72" s="34" t="e">
        <f>IF(#REF!,"AAAAAF/9+ic=",0)</f>
        <v>#REF!</v>
      </c>
      <c r="AO72" s="34" t="e">
        <f>IF(#REF!,"AAAAAF/9+ig=",0)</f>
        <v>#REF!</v>
      </c>
      <c r="AP72" s="34" t="e">
        <f>IF(#REF!,"AAAAAF/9+ik=",0)</f>
        <v>#REF!</v>
      </c>
      <c r="AQ72" s="34" t="e">
        <f>IF(#REF!,"AAAAAF/9+io=",0)</f>
        <v>#REF!</v>
      </c>
      <c r="AR72" s="34" t="e">
        <f>IF(#REF!,"AAAAAF/9+is=",0)</f>
        <v>#REF!</v>
      </c>
      <c r="AS72" s="34" t="e">
        <f>IF(#REF!,"AAAAAF/9+iw=",0)</f>
        <v>#REF!</v>
      </c>
      <c r="AT72" s="34" t="e">
        <f>IF(#REF!,"AAAAAF/9+i0=",0)</f>
        <v>#REF!</v>
      </c>
      <c r="AU72" s="34" t="e">
        <f>IF(#REF!,"AAAAAF/9+i4=",0)</f>
        <v>#REF!</v>
      </c>
      <c r="AV72" s="34" t="e">
        <f>IF(#REF!,"AAAAAF/9+i8=",0)</f>
        <v>#REF!</v>
      </c>
      <c r="AW72" s="34" t="e">
        <f>IF(#REF!,"AAAAAF/9+jA=",0)</f>
        <v>#REF!</v>
      </c>
      <c r="AX72" s="34" t="e">
        <f>IF(#REF!,"AAAAAF/9+jE=",0)</f>
        <v>#REF!</v>
      </c>
      <c r="AY72" s="34" t="e">
        <f>IF(#REF!,"AAAAAF/9+jI=",0)</f>
        <v>#REF!</v>
      </c>
      <c r="AZ72" s="34" t="e">
        <f>IF(#REF!,"AAAAAF/9+jM=",0)</f>
        <v>#REF!</v>
      </c>
      <c r="BA72" s="34" t="e">
        <f>IF(#REF!,"AAAAAF/9+jQ=",0)</f>
        <v>#REF!</v>
      </c>
      <c r="BB72" s="34" t="e">
        <f>IF(#REF!,"AAAAAF/9+jU=",0)</f>
        <v>#REF!</v>
      </c>
      <c r="BC72" s="34" t="e">
        <f>IF(#REF!,"AAAAAF/9+jY=",0)</f>
        <v>#REF!</v>
      </c>
      <c r="BD72" s="34" t="e">
        <f>IF(#REF!,"AAAAAF/9+jc=",0)</f>
        <v>#REF!</v>
      </c>
      <c r="BE72" s="34" t="e">
        <f>IF(#REF!,"AAAAAF/9+jg=",0)</f>
        <v>#REF!</v>
      </c>
      <c r="BF72" s="34" t="e">
        <f>IF(#REF!,"AAAAAF/9+jk=",0)</f>
        <v>#REF!</v>
      </c>
      <c r="BG72" s="34" t="e">
        <f>IF(#REF!,"AAAAAF/9+jo=",0)</f>
        <v>#REF!</v>
      </c>
      <c r="BH72" s="34" t="e">
        <f>IF(#REF!,"AAAAAF/9+js=",0)</f>
        <v>#REF!</v>
      </c>
      <c r="BI72" s="34" t="e">
        <f>IF(#REF!,"AAAAAF/9+jw=",0)</f>
        <v>#REF!</v>
      </c>
      <c r="BJ72" s="34" t="e">
        <f>IF(#REF!,"AAAAAF/9+j0=",0)</f>
        <v>#REF!</v>
      </c>
      <c r="BK72" s="34" t="e">
        <f>IF(#REF!,"AAAAAF/9+j4=",0)</f>
        <v>#REF!</v>
      </c>
      <c r="BL72" s="34" t="e">
        <f>IF(#REF!,"AAAAAF/9+j8=",0)</f>
        <v>#REF!</v>
      </c>
      <c r="BM72" s="34" t="e">
        <f>IF(#REF!,"AAAAAF/9+kA=",0)</f>
        <v>#REF!</v>
      </c>
      <c r="BN72" s="34" t="e">
        <f>IF(#REF!,"AAAAAF/9+kE=",0)</f>
        <v>#REF!</v>
      </c>
      <c r="BO72" s="34" t="e">
        <f>IF(#REF!,"AAAAAF/9+kI=",0)</f>
        <v>#REF!</v>
      </c>
      <c r="BP72" s="34" t="e">
        <f>IF(#REF!,"AAAAAF/9+kM=",0)</f>
        <v>#REF!</v>
      </c>
      <c r="BQ72" s="34" t="e">
        <f>IF(#REF!,"AAAAAF/9+kQ=",0)</f>
        <v>#REF!</v>
      </c>
      <c r="BR72" s="34" t="e">
        <f>IF(#REF!,"AAAAAF/9+kU=",0)</f>
        <v>#REF!</v>
      </c>
      <c r="BS72" s="34" t="e">
        <f>IF(#REF!,"AAAAAF/9+kY=",0)</f>
        <v>#REF!</v>
      </c>
      <c r="BT72" s="34" t="e">
        <f>IF(#REF!,"AAAAAF/9+kc=",0)</f>
        <v>#REF!</v>
      </c>
      <c r="BU72" s="34" t="e">
        <f>IF(#REF!,"AAAAAF/9+kg=",0)</f>
        <v>#REF!</v>
      </c>
      <c r="BV72" s="34" t="e">
        <f>IF(#REF!,"AAAAAF/9+kk=",0)</f>
        <v>#REF!</v>
      </c>
      <c r="BW72" s="34" t="e">
        <f>IF(#REF!,"AAAAAF/9+ko=",0)</f>
        <v>#REF!</v>
      </c>
      <c r="BX72" s="34" t="e">
        <f>IF(#REF!,"AAAAAF/9+ks=",0)</f>
        <v>#REF!</v>
      </c>
      <c r="BY72" s="34" t="e">
        <f>IF(#REF!,"AAAAAF/9+kw=",0)</f>
        <v>#REF!</v>
      </c>
      <c r="BZ72" s="34" t="e">
        <f>IF(#REF!,"AAAAAF/9+k0=",0)</f>
        <v>#REF!</v>
      </c>
      <c r="CA72" s="34" t="e">
        <f>IF(#REF!,"AAAAAF/9+k4=",0)</f>
        <v>#REF!</v>
      </c>
      <c r="CB72" s="34" t="e">
        <f>IF(#REF!,"AAAAAF/9+k8=",0)</f>
        <v>#REF!</v>
      </c>
      <c r="CC72" s="34" t="e">
        <f>IF(#REF!,"AAAAAF/9+lA=",0)</f>
        <v>#REF!</v>
      </c>
      <c r="CD72" s="34" t="e">
        <f>IF(#REF!,"AAAAAF/9+lE=",0)</f>
        <v>#REF!</v>
      </c>
      <c r="CE72" s="34" t="e">
        <f>IF(#REF!,"AAAAAF/9+lI=",0)</f>
        <v>#REF!</v>
      </c>
      <c r="CF72" s="34" t="e">
        <f>IF(#REF!,"AAAAAF/9+lM=",0)</f>
        <v>#REF!</v>
      </c>
      <c r="CG72" s="34" t="e">
        <f>IF(#REF!,"AAAAAF/9+lQ=",0)</f>
        <v>#REF!</v>
      </c>
      <c r="CH72" s="34" t="e">
        <f>IF(#REF!,"AAAAAF/9+lU=",0)</f>
        <v>#REF!</v>
      </c>
      <c r="CI72" s="34" t="e">
        <f>IF(#REF!,"AAAAAF/9+lY=",0)</f>
        <v>#REF!</v>
      </c>
      <c r="CJ72" s="34" t="e">
        <f>IF(#REF!,"AAAAAF/9+lc=",0)</f>
        <v>#REF!</v>
      </c>
      <c r="CK72" s="34" t="e">
        <f>IF(#REF!,"AAAAAF/9+lg=",0)</f>
        <v>#REF!</v>
      </c>
      <c r="CL72" s="34" t="e">
        <f>IF(#REF!,"AAAAAF/9+lk=",0)</f>
        <v>#REF!</v>
      </c>
      <c r="CM72" s="34" t="e">
        <f>IF(#REF!,"AAAAAF/9+lo=",0)</f>
        <v>#REF!</v>
      </c>
      <c r="CN72" s="34" t="e">
        <f>IF(#REF!,"AAAAAF/9+ls=",0)</f>
        <v>#REF!</v>
      </c>
      <c r="CO72" s="34" t="e">
        <f>IF(#REF!,"AAAAAF/9+lw=",0)</f>
        <v>#REF!</v>
      </c>
      <c r="CP72" s="34" t="e">
        <f>IF(#REF!,"AAAAAF/9+l0=",0)</f>
        <v>#REF!</v>
      </c>
      <c r="CQ72" s="34" t="e">
        <f>IF(#REF!,"AAAAAF/9+l4=",0)</f>
        <v>#REF!</v>
      </c>
      <c r="CR72" s="34" t="e">
        <f>IF(#REF!,"AAAAAF/9+l8=",0)</f>
        <v>#REF!</v>
      </c>
      <c r="CS72" s="34" t="e">
        <f>IF(#REF!,"AAAAAF/9+mA=",0)</f>
        <v>#REF!</v>
      </c>
      <c r="CT72" s="34" t="e">
        <f>IF(#REF!,"AAAAAF/9+mE=",0)</f>
        <v>#REF!</v>
      </c>
      <c r="CU72" s="34" t="e">
        <f>IF(#REF!,"AAAAAF/9+mI=",0)</f>
        <v>#REF!</v>
      </c>
      <c r="CV72" s="34" t="e">
        <f>IF(#REF!,"AAAAAF/9+mM=",0)</f>
        <v>#REF!</v>
      </c>
      <c r="CW72" s="34" t="e">
        <f>IF(#REF!,"AAAAAF/9+mQ=",0)</f>
        <v>#REF!</v>
      </c>
      <c r="CX72" s="34" t="e">
        <f>IF(#REF!,"AAAAAF/9+mU=",0)</f>
        <v>#REF!</v>
      </c>
      <c r="CY72" s="34" t="e">
        <f>IF(#REF!,"AAAAAF/9+mY=",0)</f>
        <v>#REF!</v>
      </c>
      <c r="CZ72" s="34" t="e">
        <f>IF(#REF!,"AAAAAF/9+mc=",0)</f>
        <v>#REF!</v>
      </c>
      <c r="DA72" s="34" t="e">
        <f>IF(#REF!,"AAAAAF/9+mg=",0)</f>
        <v>#REF!</v>
      </c>
      <c r="DB72" s="34" t="e">
        <f>IF(#REF!,"AAAAAF/9+mk=",0)</f>
        <v>#REF!</v>
      </c>
      <c r="DC72" s="34" t="e">
        <f>IF(#REF!,"AAAAAF/9+mo=",0)</f>
        <v>#REF!</v>
      </c>
      <c r="DD72" s="34" t="e">
        <f>IF(#REF!,"AAAAAF/9+ms=",0)</f>
        <v>#REF!</v>
      </c>
      <c r="DE72" s="34" t="e">
        <f>IF(#REF!,"AAAAAF/9+mw=",0)</f>
        <v>#REF!</v>
      </c>
      <c r="DF72" s="34" t="e">
        <f>IF(#REF!,"AAAAAF/9+m0=",0)</f>
        <v>#REF!</v>
      </c>
      <c r="DG72" s="34" t="e">
        <f>IF(#REF!,"AAAAAF/9+m4=",0)</f>
        <v>#REF!</v>
      </c>
      <c r="DH72" s="34" t="e">
        <f>IF(#REF!,"AAAAAF/9+m8=",0)</f>
        <v>#REF!</v>
      </c>
      <c r="DI72" s="34" t="e">
        <f>IF(#REF!,"AAAAAF/9+nA=",0)</f>
        <v>#REF!</v>
      </c>
      <c r="DJ72" s="34" t="e">
        <f>IF(#REF!,"AAAAAF/9+nE=",0)</f>
        <v>#REF!</v>
      </c>
      <c r="DK72" s="34" t="e">
        <f>IF(#REF!,"AAAAAF/9+nI=",0)</f>
        <v>#REF!</v>
      </c>
      <c r="DL72" s="34" t="e">
        <f>IF(#REF!,"AAAAAF/9+nM=",0)</f>
        <v>#REF!</v>
      </c>
      <c r="DM72" s="34" t="e">
        <f>IF(#REF!,"AAAAAF/9+nQ=",0)</f>
        <v>#REF!</v>
      </c>
      <c r="DN72" s="34" t="e">
        <f>IF(#REF!,"AAAAAF/9+nU=",0)</f>
        <v>#REF!</v>
      </c>
      <c r="DO72" s="34" t="e">
        <f>IF(#REF!,"AAAAAF/9+nY=",0)</f>
        <v>#REF!</v>
      </c>
      <c r="DP72" s="34" t="e">
        <f>IF(#REF!,"AAAAAF/9+nc=",0)</f>
        <v>#REF!</v>
      </c>
      <c r="DQ72" s="34" t="e">
        <f>IF(#REF!,"AAAAAF/9+ng=",0)</f>
        <v>#REF!</v>
      </c>
      <c r="DR72" s="34" t="e">
        <f>IF(#REF!,"AAAAAF/9+nk=",0)</f>
        <v>#REF!</v>
      </c>
      <c r="DS72" s="34" t="e">
        <f>IF(#REF!,"AAAAAF/9+no=",0)</f>
        <v>#REF!</v>
      </c>
      <c r="DT72" s="34" t="e">
        <f>IF(#REF!,"AAAAAF/9+ns=",0)</f>
        <v>#REF!</v>
      </c>
      <c r="DU72" s="34" t="e">
        <f>IF(#REF!,"AAAAAF/9+nw=",0)</f>
        <v>#REF!</v>
      </c>
      <c r="DV72" s="34" t="e">
        <f>IF(#REF!,"AAAAAF/9+n0=",0)</f>
        <v>#REF!</v>
      </c>
      <c r="DW72" s="34" t="e">
        <f>IF(#REF!,"AAAAAF/9+n4=",0)</f>
        <v>#REF!</v>
      </c>
      <c r="DX72" s="34" t="e">
        <f>IF(#REF!,"AAAAAF/9+n8=",0)</f>
        <v>#REF!</v>
      </c>
      <c r="DY72" s="34" t="e">
        <f>IF(#REF!,"AAAAAF/9+oA=",0)</f>
        <v>#REF!</v>
      </c>
      <c r="DZ72" s="34" t="e">
        <f>IF(#REF!,"AAAAAF/9+oE=",0)</f>
        <v>#REF!</v>
      </c>
      <c r="EA72" s="34" t="e">
        <f>IF(#REF!,"AAAAAF/9+oI=",0)</f>
        <v>#REF!</v>
      </c>
      <c r="EB72" s="34" t="e">
        <f>IF(#REF!,"AAAAAF/9+oM=",0)</f>
        <v>#REF!</v>
      </c>
      <c r="EC72" s="34" t="e">
        <f>IF(#REF!,"AAAAAF/9+oQ=",0)</f>
        <v>#REF!</v>
      </c>
      <c r="ED72" s="34" t="e">
        <f>IF(#REF!,"AAAAAF/9+oU=",0)</f>
        <v>#REF!</v>
      </c>
      <c r="EE72" s="34" t="e">
        <f>IF(#REF!,"AAAAAF/9+oY=",0)</f>
        <v>#REF!</v>
      </c>
      <c r="EF72" s="34" t="e">
        <f>IF(#REF!,"AAAAAF/9+oc=",0)</f>
        <v>#REF!</v>
      </c>
      <c r="EG72" s="34" t="e">
        <f>IF(#REF!,"AAAAAF/9+og=",0)</f>
        <v>#REF!</v>
      </c>
      <c r="EH72" s="34" t="e">
        <f>IF(#REF!,"AAAAAF/9+ok=",0)</f>
        <v>#REF!</v>
      </c>
      <c r="EI72" s="34" t="e">
        <f>IF(#REF!,"AAAAAF/9+oo=",0)</f>
        <v>#REF!</v>
      </c>
      <c r="EJ72" s="34" t="e">
        <f>IF(#REF!,"AAAAAF/9+os=",0)</f>
        <v>#REF!</v>
      </c>
      <c r="EK72" s="34" t="e">
        <f>IF(#REF!,"AAAAAF/9+ow=",0)</f>
        <v>#REF!</v>
      </c>
      <c r="EL72" s="34" t="e">
        <f>IF(#REF!,"AAAAAF/9+o0=",0)</f>
        <v>#REF!</v>
      </c>
      <c r="EM72" s="34" t="e">
        <f>IF(#REF!,"AAAAAF/9+o4=",0)</f>
        <v>#REF!</v>
      </c>
      <c r="EN72" s="34" t="e">
        <f>IF(#REF!,"AAAAAF/9+o8=",0)</f>
        <v>#REF!</v>
      </c>
      <c r="EO72" s="34" t="e">
        <f>IF(#REF!,"AAAAAF/9+pA=",0)</f>
        <v>#REF!</v>
      </c>
      <c r="EP72" s="34" t="e">
        <f>IF(#REF!,"AAAAAF/9+pE=",0)</f>
        <v>#REF!</v>
      </c>
      <c r="EQ72" s="34" t="e">
        <f>IF(#REF!,"AAAAAF/9+pI=",0)</f>
        <v>#REF!</v>
      </c>
      <c r="ER72" s="34" t="e">
        <f>IF(#REF!,"AAAAAF/9+pM=",0)</f>
        <v>#REF!</v>
      </c>
      <c r="ES72" s="34" t="e">
        <f>IF(#REF!,"AAAAAF/9+pQ=",0)</f>
        <v>#REF!</v>
      </c>
      <c r="ET72" s="34" t="e">
        <f>IF(#REF!,"AAAAAF/9+pU=",0)</f>
        <v>#REF!</v>
      </c>
      <c r="EU72" s="34" t="e">
        <f>IF(#REF!,"AAAAAF/9+pY=",0)</f>
        <v>#REF!</v>
      </c>
      <c r="EV72" s="34" t="e">
        <f>IF(#REF!,"AAAAAF/9+pc=",0)</f>
        <v>#REF!</v>
      </c>
      <c r="EW72" s="34" t="e">
        <f>IF(#REF!,"AAAAAF/9+pg=",0)</f>
        <v>#REF!</v>
      </c>
      <c r="EX72" s="34" t="e">
        <f>IF(#REF!,"AAAAAF/9+pk=",0)</f>
        <v>#REF!</v>
      </c>
      <c r="EY72" s="34" t="e">
        <f>IF(#REF!,"AAAAAF/9+po=",0)</f>
        <v>#REF!</v>
      </c>
      <c r="EZ72" s="34" t="e">
        <f>IF(#REF!,"AAAAAF/9+ps=",0)</f>
        <v>#REF!</v>
      </c>
      <c r="FA72" s="34" t="e">
        <f>IF(#REF!,"AAAAAF/9+pw=",0)</f>
        <v>#REF!</v>
      </c>
      <c r="FB72" s="34" t="e">
        <f>IF(#REF!,"AAAAAF/9+p0=",0)</f>
        <v>#REF!</v>
      </c>
      <c r="FC72" s="34" t="e">
        <f>IF(#REF!,"AAAAAF/9+p4=",0)</f>
        <v>#REF!</v>
      </c>
      <c r="FD72" s="34" t="e">
        <f>IF(#REF!,"AAAAAF/9+p8=",0)</f>
        <v>#REF!</v>
      </c>
      <c r="FE72" s="34" t="e">
        <f>IF(#REF!,"AAAAAF/9+qA=",0)</f>
        <v>#REF!</v>
      </c>
      <c r="FF72" s="34" t="e">
        <f>IF(#REF!,"AAAAAF/9+qE=",0)</f>
        <v>#REF!</v>
      </c>
      <c r="FG72" s="34" t="e">
        <f>IF(#REF!,"AAAAAF/9+qI=",0)</f>
        <v>#REF!</v>
      </c>
      <c r="FH72" s="34" t="e">
        <f>IF(#REF!,"AAAAAF/9+qM=",0)</f>
        <v>#REF!</v>
      </c>
      <c r="FI72" s="34" t="e">
        <f>IF(#REF!,"AAAAAF/9+qQ=",0)</f>
        <v>#REF!</v>
      </c>
      <c r="FJ72" s="34" t="e">
        <f>IF(#REF!,"AAAAAF/9+qU=",0)</f>
        <v>#REF!</v>
      </c>
      <c r="FK72" s="34" t="e">
        <f>IF(#REF!,"AAAAAF/9+qY=",0)</f>
        <v>#REF!</v>
      </c>
      <c r="FL72" s="34" t="e">
        <f>IF(#REF!,"AAAAAF/9+qc=",0)</f>
        <v>#REF!</v>
      </c>
      <c r="FM72" s="34" t="e">
        <f>IF(#REF!,"AAAAAF/9+qg=",0)</f>
        <v>#REF!</v>
      </c>
      <c r="FN72" s="34" t="e">
        <f>IF(#REF!,"AAAAAF/9+qk=",0)</f>
        <v>#REF!</v>
      </c>
      <c r="FO72" s="34" t="e">
        <f>IF(#REF!,"AAAAAF/9+qo=",0)</f>
        <v>#REF!</v>
      </c>
      <c r="FP72" s="34" t="e">
        <f>IF(#REF!,"AAAAAF/9+qs=",0)</f>
        <v>#REF!</v>
      </c>
      <c r="FQ72" s="34" t="e">
        <f>IF(#REF!,"AAAAAF/9+qw=",0)</f>
        <v>#REF!</v>
      </c>
      <c r="FR72" s="34" t="e">
        <f>IF(#REF!,"AAAAAF/9+q0=",0)</f>
        <v>#REF!</v>
      </c>
      <c r="FS72" s="34" t="e">
        <f>IF(#REF!,"AAAAAF/9+q4=",0)</f>
        <v>#REF!</v>
      </c>
      <c r="FT72" s="34" t="e">
        <f>IF(#REF!,"AAAAAF/9+q8=",0)</f>
        <v>#REF!</v>
      </c>
      <c r="FU72" s="34" t="e">
        <f>IF(#REF!,"AAAAAF/9+rA=",0)</f>
        <v>#REF!</v>
      </c>
      <c r="FV72" s="34" t="e">
        <f>IF(#REF!,"AAAAAF/9+rE=",0)</f>
        <v>#REF!</v>
      </c>
      <c r="FW72" s="34" t="e">
        <f>IF(#REF!,"AAAAAF/9+rI=",0)</f>
        <v>#REF!</v>
      </c>
      <c r="FX72" s="34" t="e">
        <f>IF(#REF!,"AAAAAF/9+rM=",0)</f>
        <v>#REF!</v>
      </c>
      <c r="FY72" s="34" t="e">
        <f>IF(#REF!,"AAAAAF/9+rQ=",0)</f>
        <v>#REF!</v>
      </c>
      <c r="FZ72" s="34" t="e">
        <f>IF(#REF!,"AAAAAF/9+rU=",0)</f>
        <v>#REF!</v>
      </c>
      <c r="GA72" s="34" t="e">
        <f>IF(#REF!,"AAAAAF/9+rY=",0)</f>
        <v>#REF!</v>
      </c>
      <c r="GB72" s="34" t="e">
        <f>IF(#REF!,"AAAAAF/9+rc=",0)</f>
        <v>#REF!</v>
      </c>
      <c r="GC72" s="34" t="e">
        <f>IF(#REF!,"AAAAAF/9+rg=",0)</f>
        <v>#REF!</v>
      </c>
      <c r="GD72" s="34" t="e">
        <f>IF(#REF!,"AAAAAF/9+rk=",0)</f>
        <v>#REF!</v>
      </c>
      <c r="GE72" s="34" t="e">
        <f>IF(#REF!,"AAAAAF/9+ro=",0)</f>
        <v>#REF!</v>
      </c>
      <c r="GF72" s="34" t="e">
        <f>IF(#REF!,"AAAAAF/9+rs=",0)</f>
        <v>#REF!</v>
      </c>
      <c r="GG72" s="34" t="e">
        <f>IF(#REF!,"AAAAAF/9+rw=",0)</f>
        <v>#REF!</v>
      </c>
      <c r="GH72" s="34" t="e">
        <f>IF(#REF!,"AAAAAF/9+r0=",0)</f>
        <v>#REF!</v>
      </c>
      <c r="GI72" s="34" t="e">
        <f>IF(#REF!,"AAAAAF/9+r4=",0)</f>
        <v>#REF!</v>
      </c>
      <c r="GJ72" s="34" t="e">
        <f>IF(#REF!,"AAAAAF/9+r8=",0)</f>
        <v>#REF!</v>
      </c>
      <c r="GK72" s="34" t="e">
        <f>IF(#REF!,"AAAAAF/9+sA=",0)</f>
        <v>#REF!</v>
      </c>
      <c r="GL72" s="34" t="e">
        <f>IF(#REF!,"AAAAAF/9+sE=",0)</f>
        <v>#REF!</v>
      </c>
      <c r="GM72" s="34" t="e">
        <f>IF(#REF!,"AAAAAF/9+sI=",0)</f>
        <v>#REF!</v>
      </c>
      <c r="GN72" s="34" t="e">
        <f>IF(#REF!,"AAAAAF/9+sM=",0)</f>
        <v>#REF!</v>
      </c>
      <c r="GO72" s="34" t="e">
        <f>IF(#REF!,"AAAAAF/9+sQ=",0)</f>
        <v>#REF!</v>
      </c>
      <c r="GP72" s="34" t="e">
        <f>IF(#REF!,"AAAAAF/9+sU=",0)</f>
        <v>#REF!</v>
      </c>
      <c r="GQ72" s="34" t="e">
        <f>IF(#REF!,"AAAAAF/9+sY=",0)</f>
        <v>#REF!</v>
      </c>
      <c r="GR72" s="34" t="e">
        <f>IF(#REF!,"AAAAAF/9+sc=",0)</f>
        <v>#REF!</v>
      </c>
      <c r="GS72" s="34" t="e">
        <f>IF(#REF!,"AAAAAF/9+sg=",0)</f>
        <v>#REF!</v>
      </c>
      <c r="GT72" s="34" t="e">
        <f>IF(#REF!,"AAAAAF/9+sk=",0)</f>
        <v>#REF!</v>
      </c>
      <c r="GU72" s="34" t="e">
        <f>IF(#REF!,"AAAAAF/9+so=",0)</f>
        <v>#REF!</v>
      </c>
      <c r="GV72" s="34" t="e">
        <f>IF(#REF!,"AAAAAF/9+ss=",0)</f>
        <v>#REF!</v>
      </c>
      <c r="GW72" s="34" t="e">
        <f>IF(#REF!,"AAAAAF/9+sw=",0)</f>
        <v>#REF!</v>
      </c>
      <c r="GX72" s="34" t="e">
        <f>IF(#REF!,"AAAAAF/9+s0=",0)</f>
        <v>#REF!</v>
      </c>
      <c r="GY72" s="34" t="e">
        <f>IF(#REF!,"AAAAAF/9+s4=",0)</f>
        <v>#REF!</v>
      </c>
      <c r="GZ72" s="34" t="e">
        <f>IF(#REF!,"AAAAAF/9+s8=",0)</f>
        <v>#REF!</v>
      </c>
      <c r="HA72" s="34" t="e">
        <f>IF(#REF!,"AAAAAF/9+tA=",0)</f>
        <v>#REF!</v>
      </c>
      <c r="HB72" s="34" t="e">
        <f>IF(#REF!,"AAAAAF/9+tE=",0)</f>
        <v>#REF!</v>
      </c>
      <c r="HC72" s="34" t="e">
        <f>IF(#REF!,"AAAAAF/9+tI=",0)</f>
        <v>#REF!</v>
      </c>
      <c r="HD72" s="34" t="e">
        <f>IF(#REF!,"AAAAAF/9+tM=",0)</f>
        <v>#REF!</v>
      </c>
      <c r="HE72" s="34" t="e">
        <f>IF(#REF!,"AAAAAF/9+tQ=",0)</f>
        <v>#REF!</v>
      </c>
      <c r="HF72" s="34" t="e">
        <f>IF(#REF!,"AAAAAF/9+tU=",0)</f>
        <v>#REF!</v>
      </c>
      <c r="HG72" s="34" t="e">
        <f>IF(#REF!,"AAAAAF/9+tY=",0)</f>
        <v>#REF!</v>
      </c>
      <c r="HH72" s="34" t="e">
        <f>IF(#REF!,"AAAAAF/9+tc=",0)</f>
        <v>#REF!</v>
      </c>
      <c r="HI72" s="34" t="e">
        <f>IF(#REF!,"AAAAAF/9+tg=",0)</f>
        <v>#REF!</v>
      </c>
      <c r="HJ72" s="34" t="e">
        <f>IF(#REF!,"AAAAAF/9+tk=",0)</f>
        <v>#REF!</v>
      </c>
      <c r="HK72" s="34" t="e">
        <f>IF(#REF!,"AAAAAF/9+to=",0)</f>
        <v>#REF!</v>
      </c>
      <c r="HL72" s="34" t="e">
        <f>IF(#REF!,"AAAAAF/9+ts=",0)</f>
        <v>#REF!</v>
      </c>
      <c r="HM72" s="34" t="e">
        <f>IF(#REF!,"AAAAAF/9+tw=",0)</f>
        <v>#REF!</v>
      </c>
      <c r="HN72" s="34" t="e">
        <f>IF(#REF!,"AAAAAF/9+t0=",0)</f>
        <v>#REF!</v>
      </c>
      <c r="HO72" s="34" t="e">
        <f>IF(#REF!,"AAAAAF/9+t4=",0)</f>
        <v>#REF!</v>
      </c>
      <c r="HP72" s="34" t="e">
        <f>IF(#REF!,"AAAAAF/9+t8=",0)</f>
        <v>#REF!</v>
      </c>
      <c r="HQ72" s="34" t="e">
        <f>IF(#REF!,"AAAAAF/9+uA=",0)</f>
        <v>#REF!</v>
      </c>
      <c r="HR72" s="34" t="e">
        <f>IF(#REF!,"AAAAAF/9+uE=",0)</f>
        <v>#REF!</v>
      </c>
      <c r="HS72" s="34" t="e">
        <f>IF(#REF!,"AAAAAF/9+uI=",0)</f>
        <v>#REF!</v>
      </c>
      <c r="HT72" s="34" t="e">
        <f>IF(#REF!,"AAAAAF/9+uM=",0)</f>
        <v>#REF!</v>
      </c>
      <c r="HU72" s="34" t="e">
        <f>IF(#REF!,"AAAAAF/9+uQ=",0)</f>
        <v>#REF!</v>
      </c>
      <c r="HV72" s="34" t="e">
        <f>IF(#REF!,"AAAAAF/9+uU=",0)</f>
        <v>#REF!</v>
      </c>
      <c r="HW72" s="34" t="e">
        <f>IF(#REF!,"AAAAAF/9+uY=",0)</f>
        <v>#REF!</v>
      </c>
      <c r="HX72" s="34" t="e">
        <f>IF(#REF!,"AAAAAF/9+uc=",0)</f>
        <v>#REF!</v>
      </c>
      <c r="HY72" s="34" t="e">
        <f>IF(#REF!,"AAAAAF/9+ug=",0)</f>
        <v>#REF!</v>
      </c>
      <c r="HZ72" s="34" t="e">
        <f>IF(#REF!,"AAAAAF/9+uk=",0)</f>
        <v>#REF!</v>
      </c>
      <c r="IA72" s="34" t="e">
        <f>IF(#REF!,"AAAAAF/9+uo=",0)</f>
        <v>#REF!</v>
      </c>
      <c r="IB72" s="34" t="e">
        <f>IF(#REF!,"AAAAAF/9+us=",0)</f>
        <v>#REF!</v>
      </c>
      <c r="IC72" s="34" t="e">
        <f>IF(#REF!,"AAAAAF/9+uw=",0)</f>
        <v>#REF!</v>
      </c>
      <c r="ID72" s="34" t="e">
        <f>IF(#REF!,"AAAAAF/9+u0=",0)</f>
        <v>#REF!</v>
      </c>
      <c r="IE72" s="34" t="e">
        <f>IF(#REF!,"AAAAAF/9+u4=",0)</f>
        <v>#REF!</v>
      </c>
      <c r="IF72" s="34" t="e">
        <f>IF(#REF!,"AAAAAF/9+u8=",0)</f>
        <v>#REF!</v>
      </c>
      <c r="IG72" s="34" t="e">
        <f>IF(#REF!,"AAAAAF/9+vA=",0)</f>
        <v>#REF!</v>
      </c>
      <c r="IH72" s="34" t="e">
        <f>IF(#REF!,"AAAAAF/9+vE=",0)</f>
        <v>#REF!</v>
      </c>
      <c r="II72" s="34" t="e">
        <f>IF(#REF!,"AAAAAF/9+vI=",0)</f>
        <v>#REF!</v>
      </c>
      <c r="IJ72" s="34" t="e">
        <f>IF(#REF!,"AAAAAF/9+vM=",0)</f>
        <v>#REF!</v>
      </c>
      <c r="IK72" s="34" t="e">
        <f>IF(#REF!,"AAAAAF/9+vQ=",0)</f>
        <v>#REF!</v>
      </c>
      <c r="IL72" s="34" t="e">
        <f>IF(#REF!,"AAAAAF/9+vU=",0)</f>
        <v>#REF!</v>
      </c>
      <c r="IM72" s="34" t="e">
        <f>IF(#REF!,"AAAAAF/9+vY=",0)</f>
        <v>#REF!</v>
      </c>
      <c r="IN72" s="34" t="e">
        <f>IF(#REF!,"AAAAAF/9+vc=",0)</f>
        <v>#REF!</v>
      </c>
      <c r="IO72" s="34" t="e">
        <f>IF(#REF!,"AAAAAF/9+vg=",0)</f>
        <v>#REF!</v>
      </c>
      <c r="IP72" s="34" t="e">
        <f>IF(#REF!,"AAAAAF/9+vk=",0)</f>
        <v>#REF!</v>
      </c>
      <c r="IQ72" s="34" t="e">
        <f>IF(#REF!,"AAAAAF/9+vo=",0)</f>
        <v>#REF!</v>
      </c>
      <c r="IR72" s="34" t="e">
        <f>IF(#REF!,"AAAAAF/9+vs=",0)</f>
        <v>#REF!</v>
      </c>
      <c r="IS72" s="34" t="e">
        <f>IF(#REF!,"AAAAAF/9+vw=",0)</f>
        <v>#REF!</v>
      </c>
      <c r="IT72" s="34" t="e">
        <f>IF(#REF!,"AAAAAF/9+v0=",0)</f>
        <v>#REF!</v>
      </c>
      <c r="IU72" s="34" t="e">
        <f>IF(#REF!,"AAAAAF/9+v4=",0)</f>
        <v>#REF!</v>
      </c>
      <c r="IV72" s="34" t="e">
        <f>IF(#REF!,"AAAAAF/9+v8=",0)</f>
        <v>#REF!</v>
      </c>
    </row>
    <row r="73" spans="1:256" ht="12.75" customHeight="1" x14ac:dyDescent="0.2">
      <c r="A73" s="34" t="e">
        <f>IF(#REF!,"AAAAAA//fgA=",0)</f>
        <v>#REF!</v>
      </c>
      <c r="B73" s="34" t="e">
        <f>IF(#REF!,"AAAAAA//fgE=",0)</f>
        <v>#REF!</v>
      </c>
      <c r="C73" s="34" t="e">
        <f>IF(#REF!,"AAAAAA//fgI=",0)</f>
        <v>#REF!</v>
      </c>
      <c r="D73" s="34" t="e">
        <f>IF(#REF!,"AAAAAA//fgM=",0)</f>
        <v>#REF!</v>
      </c>
      <c r="E73" s="34" t="e">
        <f>IF(#REF!,"AAAAAA//fgQ=",0)</f>
        <v>#REF!</v>
      </c>
      <c r="F73" s="34" t="e">
        <f>IF(#REF!,"AAAAAA//fgU=",0)</f>
        <v>#REF!</v>
      </c>
      <c r="G73" s="34" t="e">
        <f>IF(#REF!,"AAAAAA//fgY=",0)</f>
        <v>#REF!</v>
      </c>
      <c r="H73" s="34" t="e">
        <f>IF(#REF!,"AAAAAA//fgc=",0)</f>
        <v>#REF!</v>
      </c>
      <c r="I73" s="34" t="e">
        <f>IF(#REF!,"AAAAAA//fgg=",0)</f>
        <v>#REF!</v>
      </c>
      <c r="J73" s="34" t="e">
        <f>IF(#REF!,"AAAAAA//fgk=",0)</f>
        <v>#REF!</v>
      </c>
      <c r="K73" s="34" t="e">
        <f>IF(#REF!,"AAAAAA//fgo=",0)</f>
        <v>#REF!</v>
      </c>
      <c r="L73" s="34" t="e">
        <f>IF(#REF!,"AAAAAA//fgs=",0)</f>
        <v>#REF!</v>
      </c>
      <c r="M73" s="34" t="e">
        <f>IF(#REF!,"AAAAAA//fgw=",0)</f>
        <v>#REF!</v>
      </c>
      <c r="N73" s="34" t="e">
        <f>IF(#REF!,"AAAAAA//fg0=",0)</f>
        <v>#REF!</v>
      </c>
      <c r="O73" s="34" t="e">
        <f>IF(#REF!,"AAAAAA//fg4=",0)</f>
        <v>#REF!</v>
      </c>
      <c r="P73" s="34" t="e">
        <f>IF(#REF!,"AAAAAA//fg8=",0)</f>
        <v>#REF!</v>
      </c>
      <c r="Q73" s="34" t="e">
        <f>IF(#REF!,"AAAAAA//fhA=",0)</f>
        <v>#REF!</v>
      </c>
      <c r="R73" s="34" t="e">
        <f>IF(#REF!,"AAAAAA//fhE=",0)</f>
        <v>#REF!</v>
      </c>
      <c r="S73" s="34" t="e">
        <f>IF(#REF!,"AAAAAA//fhI=",0)</f>
        <v>#REF!</v>
      </c>
      <c r="T73" s="34" t="e">
        <f>IF(#REF!,"AAAAAA//fhM=",0)</f>
        <v>#REF!</v>
      </c>
      <c r="U73" s="34" t="e">
        <f>IF(#REF!,"AAAAAA//fhQ=",0)</f>
        <v>#REF!</v>
      </c>
      <c r="V73" s="34" t="e">
        <f>IF(#REF!,"AAAAAA//fhU=",0)</f>
        <v>#REF!</v>
      </c>
      <c r="W73" s="34" t="e">
        <f>IF(#REF!,"AAAAAA//fhY=",0)</f>
        <v>#REF!</v>
      </c>
      <c r="X73" s="34" t="e">
        <f>IF(#REF!,"AAAAAA//fhc=",0)</f>
        <v>#REF!</v>
      </c>
      <c r="Y73" s="34" t="e">
        <f>IF(#REF!,"AAAAAA//fhg=",0)</f>
        <v>#REF!</v>
      </c>
      <c r="Z73" s="34" t="e">
        <f>IF(#REF!,"AAAAAA//fhk=",0)</f>
        <v>#REF!</v>
      </c>
      <c r="AA73" s="34" t="e">
        <f>IF(#REF!,"AAAAAA//fho=",0)</f>
        <v>#REF!</v>
      </c>
      <c r="AB73" s="34" t="e">
        <f>IF(#REF!,"AAAAAA//fhs=",0)</f>
        <v>#REF!</v>
      </c>
      <c r="AC73" s="34" t="e">
        <f>IF(#REF!,"AAAAAA//fhw=",0)</f>
        <v>#REF!</v>
      </c>
      <c r="AD73" s="34" t="e">
        <f>IF(#REF!,"AAAAAA//fh0=",0)</f>
        <v>#REF!</v>
      </c>
      <c r="AE73" s="34" t="e">
        <f>IF(#REF!,"AAAAAA//fh4=",0)</f>
        <v>#REF!</v>
      </c>
      <c r="AF73" s="34" t="e">
        <f>IF(#REF!,"AAAAAA//fh8=",0)</f>
        <v>#REF!</v>
      </c>
      <c r="AG73" s="34" t="e">
        <f>IF(#REF!,"AAAAAA//fiA=",0)</f>
        <v>#REF!</v>
      </c>
      <c r="AH73" s="34" t="e">
        <f>IF(#REF!,"AAAAAA//fiE=",0)</f>
        <v>#REF!</v>
      </c>
      <c r="AI73" s="34" t="e">
        <f>IF(#REF!,"AAAAAA//fiI=",0)</f>
        <v>#REF!</v>
      </c>
      <c r="AJ73" s="34" t="e">
        <f>IF(#REF!,"AAAAAA//fiM=",0)</f>
        <v>#REF!</v>
      </c>
      <c r="AK73" s="34" t="e">
        <f>IF(#REF!,"AAAAAA//fiQ=",0)</f>
        <v>#REF!</v>
      </c>
      <c r="AL73" s="34" t="e">
        <f>IF(#REF!,"AAAAAA//fiU=",0)</f>
        <v>#REF!</v>
      </c>
      <c r="AM73" s="34" t="e">
        <f>IF(#REF!,"AAAAAA//fiY=",0)</f>
        <v>#REF!</v>
      </c>
      <c r="AN73" s="34" t="e">
        <f>IF(#REF!,"AAAAAA//fic=",0)</f>
        <v>#REF!</v>
      </c>
      <c r="AO73" s="34" t="e">
        <f>IF(#REF!,"AAAAAA//fig=",0)</f>
        <v>#REF!</v>
      </c>
      <c r="AP73" s="34" t="e">
        <f>IF(#REF!,"AAAAAA//fik=",0)</f>
        <v>#REF!</v>
      </c>
      <c r="AQ73" s="34" t="e">
        <f>IF(#REF!,"AAAAAA//fio=",0)</f>
        <v>#REF!</v>
      </c>
      <c r="AR73" s="34" t="e">
        <f>IF(#REF!,"AAAAAA//fis=",0)</f>
        <v>#REF!</v>
      </c>
      <c r="AS73" s="34" t="e">
        <f>IF(#REF!,"AAAAAA//fiw=",0)</f>
        <v>#REF!</v>
      </c>
      <c r="AT73" s="34" t="e">
        <f>IF(#REF!,"AAAAAA//fi0=",0)</f>
        <v>#REF!</v>
      </c>
      <c r="AU73" s="34" t="e">
        <f>IF(#REF!,"AAAAAA//fi4=",0)</f>
        <v>#REF!</v>
      </c>
      <c r="AV73" s="34" t="e">
        <f>IF(#REF!,"AAAAAA//fi8=",0)</f>
        <v>#REF!</v>
      </c>
      <c r="AW73" s="34" t="e">
        <f>IF(#REF!,"AAAAAA//fjA=",0)</f>
        <v>#REF!</v>
      </c>
      <c r="AX73" s="34" t="e">
        <f>IF(#REF!,"AAAAAA//fjE=",0)</f>
        <v>#REF!</v>
      </c>
      <c r="AY73" s="34" t="e">
        <f>IF(#REF!,"AAAAAA//fjI=",0)</f>
        <v>#REF!</v>
      </c>
      <c r="AZ73" s="34" t="e">
        <f>IF(#REF!,"AAAAAA//fjM=",0)</f>
        <v>#REF!</v>
      </c>
      <c r="BA73" s="34" t="e">
        <f>IF(#REF!,"AAAAAA//fjQ=",0)</f>
        <v>#REF!</v>
      </c>
      <c r="BB73" s="34" t="e">
        <f>IF(#REF!,"AAAAAA//fjU=",0)</f>
        <v>#REF!</v>
      </c>
      <c r="BC73" s="34" t="e">
        <f>IF(#REF!,"AAAAAA//fjY=",0)</f>
        <v>#REF!</v>
      </c>
      <c r="BD73" s="34" t="e">
        <f>IF(#REF!,"AAAAAA//fjc=",0)</f>
        <v>#REF!</v>
      </c>
      <c r="BE73" s="34" t="e">
        <f>IF(#REF!,"AAAAAA//fjg=",0)</f>
        <v>#REF!</v>
      </c>
      <c r="BF73" s="34" t="e">
        <f>IF(#REF!,"AAAAAA//fjk=",0)</f>
        <v>#REF!</v>
      </c>
      <c r="BG73" s="34" t="e">
        <f>IF(#REF!,"AAAAAA//fjo=",0)</f>
        <v>#REF!</v>
      </c>
      <c r="BH73" s="34" t="e">
        <f>IF(#REF!,"AAAAAA//fjs=",0)</f>
        <v>#REF!</v>
      </c>
      <c r="BI73" s="34" t="e">
        <f>IF(#REF!,"AAAAAA//fjw=",0)</f>
        <v>#REF!</v>
      </c>
      <c r="BJ73" s="34" t="e">
        <f>IF(#REF!,"AAAAAA//fj0=",0)</f>
        <v>#REF!</v>
      </c>
      <c r="BK73" s="34" t="e">
        <f>IF(#REF!,"AAAAAA//fj4=",0)</f>
        <v>#REF!</v>
      </c>
      <c r="BL73" s="34" t="e">
        <f>IF(#REF!,"AAAAAA//fj8=",0)</f>
        <v>#REF!</v>
      </c>
      <c r="BM73" s="34" t="e">
        <f>IF(#REF!,"AAAAAA//fkA=",0)</f>
        <v>#REF!</v>
      </c>
      <c r="BN73" s="34" t="e">
        <f>IF(#REF!,"AAAAAA//fkE=",0)</f>
        <v>#REF!</v>
      </c>
      <c r="BO73" s="34" t="e">
        <f>IF(#REF!,"AAAAAA//fkI=",0)</f>
        <v>#REF!</v>
      </c>
      <c r="BP73" s="34" t="e">
        <f>IF(#REF!,"AAAAAA//fkM=",0)</f>
        <v>#REF!</v>
      </c>
      <c r="BQ73" s="34" t="e">
        <f>IF(#REF!,"AAAAAA//fkQ=",0)</f>
        <v>#REF!</v>
      </c>
      <c r="BR73" s="34" t="e">
        <f>IF(#REF!,"AAAAAA//fkU=",0)</f>
        <v>#REF!</v>
      </c>
      <c r="BS73" s="34" t="e">
        <f>IF(#REF!,"AAAAAA//fkY=",0)</f>
        <v>#REF!</v>
      </c>
      <c r="BT73" s="34" t="e">
        <f>IF(#REF!,"AAAAAA//fkc=",0)</f>
        <v>#REF!</v>
      </c>
      <c r="BU73" s="34" t="e">
        <f>IF(#REF!,"AAAAAA//fkg=",0)</f>
        <v>#REF!</v>
      </c>
      <c r="BV73" s="34" t="e">
        <f>IF(#REF!,"AAAAAA//fkk=",0)</f>
        <v>#REF!</v>
      </c>
      <c r="BW73" s="34" t="e">
        <f>IF(#REF!,"AAAAAA//fko=",0)</f>
        <v>#REF!</v>
      </c>
      <c r="BX73" s="34" t="e">
        <f>IF(#REF!,"AAAAAA//fks=",0)</f>
        <v>#REF!</v>
      </c>
      <c r="BY73" s="34" t="e">
        <f>IF(#REF!,"AAAAAA//fkw=",0)</f>
        <v>#REF!</v>
      </c>
      <c r="BZ73" s="34" t="e">
        <f>IF(#REF!,"AAAAAA//fk0=",0)</f>
        <v>#REF!</v>
      </c>
      <c r="CA73" s="34" t="e">
        <f>IF(#REF!,"AAAAAA//fk4=",0)</f>
        <v>#REF!</v>
      </c>
      <c r="CB73" s="34" t="e">
        <f>IF(#REF!,"AAAAAA//fk8=",0)</f>
        <v>#REF!</v>
      </c>
      <c r="CC73" s="34" t="e">
        <f>IF(#REF!,"AAAAAA//flA=",0)</f>
        <v>#REF!</v>
      </c>
      <c r="CD73" s="34" t="e">
        <f>IF(#REF!,"AAAAAA//flE=",0)</f>
        <v>#REF!</v>
      </c>
      <c r="CE73" s="34" t="e">
        <f>IF(#REF!,"AAAAAA//flI=",0)</f>
        <v>#REF!</v>
      </c>
      <c r="CF73" s="34" t="e">
        <f>IF(#REF!,"AAAAAA//flM=",0)</f>
        <v>#REF!</v>
      </c>
      <c r="CG73" s="34" t="e">
        <f>IF(#REF!,"AAAAAA//flQ=",0)</f>
        <v>#REF!</v>
      </c>
      <c r="CH73" s="34" t="e">
        <f>IF(#REF!,"AAAAAA//flU=",0)</f>
        <v>#REF!</v>
      </c>
      <c r="CI73" s="34" t="e">
        <f>IF(#REF!,"AAAAAA//flY=",0)</f>
        <v>#REF!</v>
      </c>
      <c r="CJ73" s="34" t="e">
        <f>IF(#REF!,"AAAAAA//flc=",0)</f>
        <v>#REF!</v>
      </c>
      <c r="CK73" s="34" t="e">
        <f>IF(#REF!,"AAAAAA//flg=",0)</f>
        <v>#REF!</v>
      </c>
      <c r="CL73" s="34" t="e">
        <f>IF(#REF!,"AAAAAA//flk=",0)</f>
        <v>#REF!</v>
      </c>
      <c r="CM73" s="34" t="e">
        <f>IF(#REF!,"AAAAAA//flo=",0)</f>
        <v>#REF!</v>
      </c>
      <c r="CN73" s="34" t="e">
        <f>IF(#REF!,"AAAAAA//fls=",0)</f>
        <v>#REF!</v>
      </c>
      <c r="CO73" s="34" t="e">
        <f>IF(#REF!,"AAAAAA//flw=",0)</f>
        <v>#REF!</v>
      </c>
      <c r="CP73" s="34" t="e">
        <f>IF(#REF!,"AAAAAA//fl0=",0)</f>
        <v>#REF!</v>
      </c>
      <c r="CQ73" s="34" t="e">
        <f>IF(#REF!,"AAAAAA//fl4=",0)</f>
        <v>#REF!</v>
      </c>
      <c r="CR73" s="34" t="e">
        <f>IF(#REF!,"AAAAAA//fl8=",0)</f>
        <v>#REF!</v>
      </c>
      <c r="CS73" s="34" t="e">
        <f>IF(#REF!,"AAAAAA//fmA=",0)</f>
        <v>#REF!</v>
      </c>
      <c r="CT73" s="34" t="e">
        <f>IF(#REF!,"AAAAAA//fmE=",0)</f>
        <v>#REF!</v>
      </c>
      <c r="CU73" s="34" t="e">
        <f>IF(#REF!,"AAAAAA//fmI=",0)</f>
        <v>#REF!</v>
      </c>
      <c r="CV73" s="34" t="e">
        <f>IF(#REF!,"AAAAAA//fmM=",0)</f>
        <v>#REF!</v>
      </c>
      <c r="CW73" s="34" t="e">
        <f>IF(#REF!,"AAAAAA//fmQ=",0)</f>
        <v>#REF!</v>
      </c>
      <c r="CX73" s="34" t="e">
        <f>IF(#REF!,"AAAAAA//fmU=",0)</f>
        <v>#REF!</v>
      </c>
      <c r="CY73" s="34" t="e">
        <f>IF(#REF!,"AAAAAA//fmY=",0)</f>
        <v>#REF!</v>
      </c>
      <c r="CZ73" s="34" t="e">
        <f>IF(#REF!,"AAAAAA//fmc=",0)</f>
        <v>#REF!</v>
      </c>
      <c r="DA73" s="34" t="e">
        <f>IF(#REF!,"AAAAAA//fmg=",0)</f>
        <v>#REF!</v>
      </c>
      <c r="DB73" s="34" t="e">
        <f>IF(#REF!,"AAAAAA//fmk=",0)</f>
        <v>#REF!</v>
      </c>
      <c r="DC73" s="34" t="e">
        <f>IF(#REF!,"AAAAAA//fmo=",0)</f>
        <v>#REF!</v>
      </c>
      <c r="DD73" s="34" t="e">
        <f>IF(#REF!,"AAAAAA//fms=",0)</f>
        <v>#REF!</v>
      </c>
      <c r="DE73" s="34" t="e">
        <f>IF(#REF!,"AAAAAA//fmw=",0)</f>
        <v>#REF!</v>
      </c>
      <c r="DF73" s="34" t="e">
        <f>IF(#REF!,"AAAAAA//fm0=",0)</f>
        <v>#REF!</v>
      </c>
      <c r="DG73" s="34" t="e">
        <f>IF(#REF!,"AAAAAA//fm4=",0)</f>
        <v>#REF!</v>
      </c>
      <c r="DH73" s="34" t="e">
        <f>IF(#REF!,"AAAAAA//fm8=",0)</f>
        <v>#REF!</v>
      </c>
      <c r="DI73" s="34" t="e">
        <f>IF(#REF!,"AAAAAA//fnA=",0)</f>
        <v>#REF!</v>
      </c>
      <c r="DJ73" s="34" t="e">
        <f>IF(#REF!,"AAAAAA//fnE=",0)</f>
        <v>#REF!</v>
      </c>
      <c r="DK73" s="34" t="e">
        <f>IF(#REF!,"AAAAAA//fnI=",0)</f>
        <v>#REF!</v>
      </c>
      <c r="DL73" s="34" t="e">
        <f>IF(#REF!,"AAAAAA//fnM=",0)</f>
        <v>#REF!</v>
      </c>
      <c r="DM73" s="34" t="e">
        <f>IF(#REF!,"AAAAAA//fnQ=",0)</f>
        <v>#REF!</v>
      </c>
      <c r="DN73" s="34" t="e">
        <f>IF(#REF!,"AAAAAA//fnU=",0)</f>
        <v>#REF!</v>
      </c>
      <c r="DO73" s="34" t="e">
        <f>IF(#REF!,"AAAAAA//fnY=",0)</f>
        <v>#REF!</v>
      </c>
      <c r="DP73" s="34" t="e">
        <f>IF(#REF!,"AAAAAA//fnc=",0)</f>
        <v>#REF!</v>
      </c>
      <c r="DQ73" s="34" t="e">
        <f>IF(#REF!,"AAAAAA//fng=",0)</f>
        <v>#REF!</v>
      </c>
      <c r="DR73" s="34" t="e">
        <f>IF(#REF!,"AAAAAA//fnk=",0)</f>
        <v>#REF!</v>
      </c>
      <c r="DS73" s="34" t="e">
        <f>IF(#REF!,"AAAAAA//fno=",0)</f>
        <v>#REF!</v>
      </c>
      <c r="DT73" s="34" t="e">
        <f>IF(#REF!,"AAAAAA//fns=",0)</f>
        <v>#REF!</v>
      </c>
      <c r="DU73" s="34" t="e">
        <f>IF(#REF!,"AAAAAA//fnw=",0)</f>
        <v>#REF!</v>
      </c>
      <c r="DV73" s="34" t="e">
        <f>IF(#REF!,"AAAAAA//fn0=",0)</f>
        <v>#REF!</v>
      </c>
      <c r="DW73" s="34" t="e">
        <f>IF(#REF!,"AAAAAA//fn4=",0)</f>
        <v>#REF!</v>
      </c>
      <c r="DX73" s="34" t="e">
        <f>IF(#REF!,"AAAAAA//fn8=",0)</f>
        <v>#REF!</v>
      </c>
      <c r="DY73" s="34" t="e">
        <f>IF(#REF!,"AAAAAA//foA=",0)</f>
        <v>#REF!</v>
      </c>
      <c r="DZ73" s="34" t="e">
        <f>IF(#REF!,"AAAAAA//foE=",0)</f>
        <v>#REF!</v>
      </c>
      <c r="EA73" s="34" t="e">
        <f>IF(#REF!,"AAAAAA//foI=",0)</f>
        <v>#REF!</v>
      </c>
      <c r="EB73" s="34" t="e">
        <f>IF(#REF!,"AAAAAA//foM=",0)</f>
        <v>#REF!</v>
      </c>
      <c r="EC73" s="34" t="e">
        <f>IF(#REF!,"AAAAAA//foQ=",0)</f>
        <v>#REF!</v>
      </c>
      <c r="ED73" s="34" t="e">
        <f>IF(#REF!,"AAAAAA//foU=",0)</f>
        <v>#REF!</v>
      </c>
      <c r="EE73" s="34" t="e">
        <f>IF(#REF!,"AAAAAA//foY=",0)</f>
        <v>#REF!</v>
      </c>
      <c r="EF73" s="34" t="e">
        <f>IF(#REF!,"AAAAAA//foc=",0)</f>
        <v>#REF!</v>
      </c>
      <c r="EG73" s="34" t="e">
        <f>IF(#REF!,"AAAAAA//fog=",0)</f>
        <v>#REF!</v>
      </c>
      <c r="EH73" s="34" t="e">
        <f>IF(#REF!,"AAAAAA//fok=",0)</f>
        <v>#REF!</v>
      </c>
      <c r="EI73" s="34" t="e">
        <f>IF(#REF!,"AAAAAA//foo=",0)</f>
        <v>#REF!</v>
      </c>
      <c r="EJ73" s="34" t="e">
        <f>IF(#REF!,"AAAAAA//fos=",0)</f>
        <v>#REF!</v>
      </c>
      <c r="EK73" s="34" t="e">
        <f>IF(#REF!,"AAAAAA//fow=",0)</f>
        <v>#REF!</v>
      </c>
      <c r="EL73" s="34" t="e">
        <f>IF(#REF!,"AAAAAA//fo0=",0)</f>
        <v>#REF!</v>
      </c>
      <c r="EM73" s="34" t="e">
        <f>IF(#REF!,"AAAAAA//fo4=",0)</f>
        <v>#REF!</v>
      </c>
      <c r="EN73" s="34" t="e">
        <f>IF(#REF!,"AAAAAA//fo8=",0)</f>
        <v>#REF!</v>
      </c>
      <c r="EO73" s="34" t="e">
        <f>IF(#REF!,"AAAAAA//fpA=",0)</f>
        <v>#REF!</v>
      </c>
      <c r="EP73" s="34" t="e">
        <f>IF(#REF!,"AAAAAA//fpE=",0)</f>
        <v>#REF!</v>
      </c>
      <c r="EQ73" s="34" t="e">
        <f>IF(#REF!,"AAAAAA//fpI=",0)</f>
        <v>#REF!</v>
      </c>
      <c r="ER73" s="34" t="e">
        <f>IF(#REF!,"AAAAAA//fpM=",0)</f>
        <v>#REF!</v>
      </c>
      <c r="ES73" s="34" t="e">
        <f>IF(#REF!,"AAAAAA//fpQ=",0)</f>
        <v>#REF!</v>
      </c>
      <c r="ET73" s="34" t="e">
        <f>IF(#REF!,"AAAAAA//fpU=",0)</f>
        <v>#REF!</v>
      </c>
      <c r="EU73" s="34" t="e">
        <f>IF(#REF!,"AAAAAA//fpY=",0)</f>
        <v>#REF!</v>
      </c>
      <c r="EV73" s="34" t="e">
        <f>IF(#REF!,"AAAAAA//fpc=",0)</f>
        <v>#REF!</v>
      </c>
      <c r="EW73" s="34" t="e">
        <f>IF(#REF!,"AAAAAA//fpg=",0)</f>
        <v>#REF!</v>
      </c>
      <c r="EX73" s="34" t="e">
        <f>IF(#REF!,"AAAAAA//fpk=",0)</f>
        <v>#REF!</v>
      </c>
      <c r="EY73" s="34" t="e">
        <f>IF(#REF!,"AAAAAA//fpo=",0)</f>
        <v>#REF!</v>
      </c>
      <c r="EZ73" s="34" t="e">
        <f>IF(#REF!,"AAAAAA//fps=",0)</f>
        <v>#REF!</v>
      </c>
      <c r="FA73" s="34" t="e">
        <f>IF(#REF!,"AAAAAA//fpw=",0)</f>
        <v>#REF!</v>
      </c>
      <c r="FB73" s="34" t="e">
        <f>IF(#REF!,"AAAAAA//fp0=",0)</f>
        <v>#REF!</v>
      </c>
      <c r="FC73" s="34" t="e">
        <f>IF(#REF!,"AAAAAA//fp4=",0)</f>
        <v>#REF!</v>
      </c>
      <c r="FD73" s="34" t="e">
        <f>IF(#REF!,"AAAAAA//fp8=",0)</f>
        <v>#REF!</v>
      </c>
      <c r="FE73" s="34" t="e">
        <f>IF(#REF!,"AAAAAA//fqA=",0)</f>
        <v>#REF!</v>
      </c>
      <c r="FF73" s="34" t="e">
        <f>IF(#REF!,"AAAAAA//fqE=",0)</f>
        <v>#REF!</v>
      </c>
      <c r="FG73" s="34" t="e">
        <f>IF(#REF!,"AAAAAA//fqI=",0)</f>
        <v>#REF!</v>
      </c>
      <c r="FH73" s="34" t="e">
        <f>IF(#REF!,"AAAAAA//fqM=",0)</f>
        <v>#REF!</v>
      </c>
      <c r="FI73" s="34" t="e">
        <f>IF(#REF!,"AAAAAA//fqQ=",0)</f>
        <v>#REF!</v>
      </c>
      <c r="FJ73" s="34" t="e">
        <f>IF(#REF!,"AAAAAA//fqU=",0)</f>
        <v>#REF!</v>
      </c>
      <c r="FK73" s="34" t="e">
        <f>IF(#REF!,"AAAAAA//fqY=",0)</f>
        <v>#REF!</v>
      </c>
      <c r="FL73" s="34" t="e">
        <f>IF(#REF!,"AAAAAA//fqc=",0)</f>
        <v>#REF!</v>
      </c>
      <c r="FM73" s="34" t="e">
        <f>IF(#REF!,"AAAAAA//fqg=",0)</f>
        <v>#REF!</v>
      </c>
      <c r="FN73" s="34" t="e">
        <f>IF(#REF!,"AAAAAA//fqk=",0)</f>
        <v>#REF!</v>
      </c>
      <c r="FO73" s="34" t="e">
        <f>IF(#REF!,"AAAAAA//fqo=",0)</f>
        <v>#REF!</v>
      </c>
      <c r="FP73" s="34" t="e">
        <f>IF(#REF!,"AAAAAA//fqs=",0)</f>
        <v>#REF!</v>
      </c>
      <c r="FQ73" s="34" t="e">
        <f>IF(#REF!,"AAAAAA//fqw=",0)</f>
        <v>#REF!</v>
      </c>
      <c r="FR73" s="34" t="e">
        <f>IF(#REF!,"AAAAAA//fq0=",0)</f>
        <v>#REF!</v>
      </c>
      <c r="FS73" s="34" t="e">
        <f>IF(#REF!,"AAAAAA//fq4=",0)</f>
        <v>#REF!</v>
      </c>
      <c r="FT73" s="34" t="e">
        <f>IF(#REF!,"AAAAAA//fq8=",0)</f>
        <v>#REF!</v>
      </c>
      <c r="FU73" s="34" t="e">
        <f>IF(#REF!,"AAAAAA//frA=",0)</f>
        <v>#REF!</v>
      </c>
      <c r="FV73" s="34" t="e">
        <f>IF(#REF!,"AAAAAA//frE=",0)</f>
        <v>#REF!</v>
      </c>
      <c r="FW73" s="34" t="e">
        <f>IF(#REF!,"AAAAAA//frI=",0)</f>
        <v>#REF!</v>
      </c>
      <c r="FX73" s="34" t="e">
        <f>IF(#REF!,"AAAAAA//frM=",0)</f>
        <v>#REF!</v>
      </c>
      <c r="FY73" s="34" t="e">
        <f>IF(#REF!,"AAAAAA//frQ=",0)</f>
        <v>#REF!</v>
      </c>
      <c r="FZ73" s="34" t="e">
        <f>IF(#REF!,"AAAAAA//frU=",0)</f>
        <v>#REF!</v>
      </c>
      <c r="GA73" s="34" t="e">
        <f>IF(#REF!,"AAAAAA//frY=",0)</f>
        <v>#REF!</v>
      </c>
      <c r="GB73" s="34" t="e">
        <f>IF(#REF!,"AAAAAA//frc=",0)</f>
        <v>#REF!</v>
      </c>
      <c r="GC73" s="34" t="e">
        <f>IF(#REF!,"AAAAAA//frg=",0)</f>
        <v>#REF!</v>
      </c>
      <c r="GD73" s="34" t="e">
        <f>IF(#REF!,"AAAAAA//frk=",0)</f>
        <v>#REF!</v>
      </c>
      <c r="GE73" s="34" t="e">
        <f>IF(#REF!,"AAAAAA//fro=",0)</f>
        <v>#REF!</v>
      </c>
      <c r="GF73" s="34" t="e">
        <f>IF(#REF!,"AAAAAA//frs=",0)</f>
        <v>#REF!</v>
      </c>
      <c r="GG73" s="34" t="e">
        <f>IF(#REF!,"AAAAAA//frw=",0)</f>
        <v>#REF!</v>
      </c>
      <c r="GH73" s="34" t="e">
        <f>IF(#REF!,"AAAAAA//fr0=",0)</f>
        <v>#REF!</v>
      </c>
      <c r="GI73" s="34" t="e">
        <f>IF(#REF!,"AAAAAA//fr4=",0)</f>
        <v>#REF!</v>
      </c>
      <c r="GJ73" s="34" t="e">
        <f>IF(#REF!,"AAAAAA//fr8=",0)</f>
        <v>#REF!</v>
      </c>
      <c r="GK73" s="34" t="e">
        <f>IF(#REF!,"AAAAAA//fsA=",0)</f>
        <v>#REF!</v>
      </c>
      <c r="GL73" s="34" t="e">
        <f>IF(#REF!,"AAAAAA//fsE=",0)</f>
        <v>#REF!</v>
      </c>
      <c r="GM73" s="34" t="e">
        <f>IF(#REF!,"AAAAAA//fsI=",0)</f>
        <v>#REF!</v>
      </c>
      <c r="GN73" s="34" t="e">
        <f>IF(#REF!,"AAAAAA//fsM=",0)</f>
        <v>#REF!</v>
      </c>
      <c r="GO73" s="34" t="e">
        <f>IF(#REF!,"AAAAAA//fsQ=",0)</f>
        <v>#REF!</v>
      </c>
      <c r="GP73" s="34" t="e">
        <f>IF(#REF!,"AAAAAA//fsU=",0)</f>
        <v>#REF!</v>
      </c>
      <c r="GQ73" s="34" t="e">
        <f>IF(#REF!,"AAAAAA//fsY=",0)</f>
        <v>#REF!</v>
      </c>
      <c r="GR73" s="34" t="e">
        <f>IF(#REF!,"AAAAAA//fsc=",0)</f>
        <v>#REF!</v>
      </c>
      <c r="GS73" s="34" t="e">
        <f>IF(#REF!,"AAAAAA//fsg=",0)</f>
        <v>#REF!</v>
      </c>
      <c r="GT73" s="34" t="e">
        <f>IF(#REF!,"AAAAAA//fsk=",0)</f>
        <v>#REF!</v>
      </c>
      <c r="GU73" s="34" t="e">
        <f>IF(#REF!,"AAAAAA//fso=",0)</f>
        <v>#REF!</v>
      </c>
      <c r="GV73" s="34" t="e">
        <f>IF(#REF!,"AAAAAA//fss=",0)</f>
        <v>#REF!</v>
      </c>
      <c r="GW73" s="34" t="e">
        <f>IF(#REF!,"AAAAAA//fsw=",0)</f>
        <v>#REF!</v>
      </c>
      <c r="GX73" s="34" t="e">
        <f>IF(#REF!,"AAAAAA//fs0=",0)</f>
        <v>#REF!</v>
      </c>
      <c r="GY73" s="34" t="e">
        <f>IF(#REF!,"AAAAAA//fs4=",0)</f>
        <v>#REF!</v>
      </c>
      <c r="GZ73" s="34" t="e">
        <f>IF(#REF!,"AAAAAA//fs8=",0)</f>
        <v>#REF!</v>
      </c>
      <c r="HA73" s="34" t="e">
        <f>IF(#REF!,"AAAAAA//ftA=",0)</f>
        <v>#REF!</v>
      </c>
      <c r="HB73" s="34" t="e">
        <f>IF(#REF!,"AAAAAA//ftE=",0)</f>
        <v>#REF!</v>
      </c>
      <c r="HC73" s="34" t="e">
        <f>IF(#REF!,"AAAAAA//ftI=",0)</f>
        <v>#REF!</v>
      </c>
      <c r="HD73" s="34" t="e">
        <f>IF(#REF!,"AAAAAA//ftM=",0)</f>
        <v>#REF!</v>
      </c>
      <c r="HE73" s="34" t="e">
        <f>IF(#REF!,"AAAAAA//ftQ=",0)</f>
        <v>#REF!</v>
      </c>
      <c r="HF73" s="34" t="e">
        <f>IF(#REF!,"AAAAAA//ftU=",0)</f>
        <v>#REF!</v>
      </c>
      <c r="HG73" s="34" t="e">
        <f>IF(#REF!,"AAAAAA//ftY=",0)</f>
        <v>#REF!</v>
      </c>
      <c r="HH73" s="34" t="e">
        <f>IF(#REF!,"AAAAAA//ftc=",0)</f>
        <v>#REF!</v>
      </c>
      <c r="HI73" s="34" t="e">
        <f>IF(#REF!,"AAAAAA//ftg=",0)</f>
        <v>#REF!</v>
      </c>
      <c r="HJ73" s="34" t="e">
        <f>IF(#REF!,"AAAAAA//ftk=",0)</f>
        <v>#REF!</v>
      </c>
      <c r="HK73" s="34" t="e">
        <f>IF(#REF!,"AAAAAA//fto=",0)</f>
        <v>#REF!</v>
      </c>
      <c r="HL73" s="34" t="e">
        <f>IF(#REF!,"AAAAAA//fts=",0)</f>
        <v>#REF!</v>
      </c>
      <c r="HM73" s="34" t="e">
        <f>IF(#REF!,"AAAAAA//ftw=",0)</f>
        <v>#REF!</v>
      </c>
      <c r="HN73" s="34" t="e">
        <f>IF(#REF!,"AAAAAA//ft0=",0)</f>
        <v>#REF!</v>
      </c>
      <c r="HO73" s="34" t="e">
        <f>IF(#REF!,"AAAAAA//ft4=",0)</f>
        <v>#REF!</v>
      </c>
      <c r="HP73" s="34" t="e">
        <f>IF(#REF!,"AAAAAA//ft8=",0)</f>
        <v>#REF!</v>
      </c>
      <c r="HQ73" s="34" t="e">
        <f>IF(#REF!,"AAAAAA//fuA=",0)</f>
        <v>#REF!</v>
      </c>
      <c r="HR73" s="34" t="e">
        <f>IF(#REF!,"AAAAAA//fuE=",0)</f>
        <v>#REF!</v>
      </c>
      <c r="HS73" s="34" t="e">
        <f>IF(#REF!,"AAAAAA//fuI=",0)</f>
        <v>#REF!</v>
      </c>
      <c r="HT73" s="34" t="e">
        <f>IF(#REF!,"AAAAAA//fuM=",0)</f>
        <v>#REF!</v>
      </c>
      <c r="HU73" s="34" t="e">
        <f>IF(#REF!,"AAAAAA//fuQ=",0)</f>
        <v>#REF!</v>
      </c>
      <c r="HV73" s="34" t="e">
        <f>IF(#REF!,"AAAAAA//fuU=",0)</f>
        <v>#REF!</v>
      </c>
      <c r="HW73" s="34" t="e">
        <f>IF(#REF!,"AAAAAA//fuY=",0)</f>
        <v>#REF!</v>
      </c>
      <c r="HX73" s="34" t="e">
        <f>IF(#REF!,"AAAAAA//fuc=",0)</f>
        <v>#REF!</v>
      </c>
      <c r="HY73" s="34" t="e">
        <f>IF(#REF!,"AAAAAA//fug=",0)</f>
        <v>#REF!</v>
      </c>
      <c r="HZ73" s="34" t="e">
        <f>IF(#REF!,"AAAAAA//fuk=",0)</f>
        <v>#REF!</v>
      </c>
      <c r="IA73" s="34" t="e">
        <f>IF(#REF!,"AAAAAA//fuo=",0)</f>
        <v>#REF!</v>
      </c>
      <c r="IB73" s="34" t="e">
        <f>IF(#REF!,"AAAAAA//fus=",0)</f>
        <v>#REF!</v>
      </c>
      <c r="IC73" s="34" t="e">
        <f>IF(#REF!,"AAAAAA//fuw=",0)</f>
        <v>#REF!</v>
      </c>
      <c r="ID73" s="34" t="e">
        <f>IF(#REF!,"AAAAAA//fu0=",0)</f>
        <v>#REF!</v>
      </c>
      <c r="IE73" s="34" t="e">
        <f>IF(#REF!,"AAAAAA//fu4=",0)</f>
        <v>#REF!</v>
      </c>
      <c r="IF73" s="34" t="e">
        <f>IF(#REF!,"AAAAAA//fu8=",0)</f>
        <v>#REF!</v>
      </c>
      <c r="IG73" s="34" t="e">
        <f>IF(#REF!,"AAAAAA//fvA=",0)</f>
        <v>#REF!</v>
      </c>
      <c r="IH73" s="34" t="e">
        <f>IF(#REF!,"AAAAAA//fvE=",0)</f>
        <v>#REF!</v>
      </c>
      <c r="II73" s="34" t="e">
        <f>IF(#REF!,"AAAAAA//fvI=",0)</f>
        <v>#REF!</v>
      </c>
      <c r="IJ73" s="34" t="e">
        <f>IF(#REF!,"AAAAAA//fvM=",0)</f>
        <v>#REF!</v>
      </c>
      <c r="IK73" s="34" t="e">
        <f>IF(#REF!,"AAAAAA//fvQ=",0)</f>
        <v>#REF!</v>
      </c>
      <c r="IL73" s="34" t="e">
        <f>IF(#REF!,"AAAAAA//fvU=",0)</f>
        <v>#REF!</v>
      </c>
      <c r="IM73" s="34" t="e">
        <f>IF(#REF!,"AAAAAA//fvY=",0)</f>
        <v>#REF!</v>
      </c>
      <c r="IN73" s="34" t="e">
        <f>IF(#REF!,"AAAAAA//fvc=",0)</f>
        <v>#REF!</v>
      </c>
      <c r="IO73" s="34" t="e">
        <f>IF(#REF!,"AAAAAA//fvg=",0)</f>
        <v>#REF!</v>
      </c>
      <c r="IP73" s="34" t="e">
        <f>IF(#REF!,"AAAAAA//fvk=",0)</f>
        <v>#REF!</v>
      </c>
      <c r="IQ73" s="34" t="e">
        <f>IF(#REF!,"AAAAAA//fvo=",0)</f>
        <v>#REF!</v>
      </c>
      <c r="IR73" s="34" t="e">
        <f>IF(#REF!,"AAAAAA//fvs=",0)</f>
        <v>#REF!</v>
      </c>
      <c r="IS73" s="34" t="e">
        <f>IF(#REF!,"AAAAAA//fvw=",0)</f>
        <v>#REF!</v>
      </c>
      <c r="IT73" s="34" t="e">
        <f>IF(#REF!,"AAAAAA//fv0=",0)</f>
        <v>#REF!</v>
      </c>
      <c r="IU73" s="34" t="e">
        <f>IF(#REF!,"AAAAAA//fv4=",0)</f>
        <v>#REF!</v>
      </c>
      <c r="IV73" s="34" t="e">
        <f>IF(#REF!,"AAAAAA//fv8=",0)</f>
        <v>#REF!</v>
      </c>
    </row>
    <row r="74" spans="1:256" ht="12.75" customHeight="1" x14ac:dyDescent="0.2">
      <c r="A74" s="34" t="e">
        <f>IF(#REF!,"AAAAAHv3dwA=",0)</f>
        <v>#REF!</v>
      </c>
      <c r="B74" s="34" t="e">
        <f>IF(#REF!,"AAAAAHv3dwE=",0)</f>
        <v>#REF!</v>
      </c>
      <c r="C74" s="34" t="e">
        <f>IF(#REF!,"AAAAAHv3dwI=",0)</f>
        <v>#REF!</v>
      </c>
      <c r="D74" s="34" t="e">
        <f>IF(#REF!,"AAAAAHv3dwM=",0)</f>
        <v>#REF!</v>
      </c>
      <c r="E74" s="34" t="e">
        <f>IF(#REF!,"AAAAAHv3dwQ=",0)</f>
        <v>#REF!</v>
      </c>
      <c r="F74" s="34" t="e">
        <f>IF(#REF!,"AAAAAHv3dwU=",0)</f>
        <v>#REF!</v>
      </c>
      <c r="G74" s="34" t="e">
        <f>IF(#REF!,"AAAAAHv3dwY=",0)</f>
        <v>#REF!</v>
      </c>
      <c r="H74" s="34" t="e">
        <f>IF(#REF!,"AAAAAHv3dwc=",0)</f>
        <v>#REF!</v>
      </c>
      <c r="I74" s="34" t="e">
        <f>IF(#REF!,"AAAAAHv3dwg=",0)</f>
        <v>#REF!</v>
      </c>
      <c r="J74" s="34" t="e">
        <f>IF(#REF!,"AAAAAHv3dwk=",0)</f>
        <v>#REF!</v>
      </c>
      <c r="K74" s="34" t="e">
        <f>IF(#REF!,"AAAAAHv3dwo=",0)</f>
        <v>#REF!</v>
      </c>
      <c r="L74" s="34" t="e">
        <f>IF(#REF!,"AAAAAHv3dws=",0)</f>
        <v>#REF!</v>
      </c>
      <c r="M74" s="34" t="e">
        <f>IF(#REF!,"AAAAAHv3dww=",0)</f>
        <v>#REF!</v>
      </c>
      <c r="N74" s="34" t="e">
        <f>IF(#REF!,"AAAAAHv3dw0=",0)</f>
        <v>#REF!</v>
      </c>
      <c r="O74" s="34" t="e">
        <f>IF(#REF!,"AAAAAHv3dw4=",0)</f>
        <v>#REF!</v>
      </c>
      <c r="P74" s="34" t="e">
        <f>IF(#REF!,"AAAAAHv3dw8=",0)</f>
        <v>#REF!</v>
      </c>
      <c r="Q74" s="34" t="e">
        <f>IF(#REF!,"AAAAAHv3dxA=",0)</f>
        <v>#REF!</v>
      </c>
      <c r="R74" s="34" t="e">
        <f>IF(#REF!,"AAAAAHv3dxE=",0)</f>
        <v>#REF!</v>
      </c>
      <c r="S74" s="34" t="e">
        <f>IF(#REF!,"AAAAAHv3dxI=",0)</f>
        <v>#REF!</v>
      </c>
      <c r="T74" s="34" t="e">
        <f>IF(#REF!,"AAAAAHv3dxM=",0)</f>
        <v>#REF!</v>
      </c>
      <c r="U74" s="34" t="e">
        <f>IF(#REF!,"AAAAAHv3dxQ=",0)</f>
        <v>#REF!</v>
      </c>
      <c r="V74" s="34" t="e">
        <f>IF(#REF!,"AAAAAHv3dxU=",0)</f>
        <v>#REF!</v>
      </c>
      <c r="W74" s="34" t="e">
        <f>IF(#REF!,"AAAAAHv3dxY=",0)</f>
        <v>#REF!</v>
      </c>
      <c r="X74" s="34" t="e">
        <f>IF(#REF!,"AAAAAHv3dxc=",0)</f>
        <v>#REF!</v>
      </c>
      <c r="Y74" s="34" t="e">
        <f>IF(#REF!,"AAAAAHv3dxg=",0)</f>
        <v>#REF!</v>
      </c>
      <c r="Z74" s="34" t="e">
        <f>IF(#REF!,"AAAAAHv3dxk=",0)</f>
        <v>#REF!</v>
      </c>
      <c r="AA74" s="34" t="e">
        <f>IF(#REF!,"AAAAAHv3dxo=",0)</f>
        <v>#REF!</v>
      </c>
      <c r="AB74" s="34" t="e">
        <f>IF(#REF!,"AAAAAHv3dxs=",0)</f>
        <v>#REF!</v>
      </c>
      <c r="AC74" s="34" t="e">
        <f>IF(#REF!,"AAAAAHv3dxw=",0)</f>
        <v>#REF!</v>
      </c>
      <c r="AD74" s="34" t="e">
        <f>IF(#REF!,"AAAAAHv3dx0=",0)</f>
        <v>#REF!</v>
      </c>
      <c r="AE74" s="34" t="e">
        <f>IF(#REF!,"AAAAAHv3dx4=",0)</f>
        <v>#REF!</v>
      </c>
      <c r="AF74" s="34" t="e">
        <f>IF(#REF!,"AAAAAHv3dx8=",0)</f>
        <v>#REF!</v>
      </c>
      <c r="AG74" s="34" t="e">
        <f>IF(#REF!,"AAAAAHv3dyA=",0)</f>
        <v>#REF!</v>
      </c>
      <c r="AH74" s="34" t="e">
        <f>IF(#REF!,"AAAAAHv3dyE=",0)</f>
        <v>#REF!</v>
      </c>
      <c r="AI74" s="34" t="e">
        <f>IF(#REF!,"AAAAAHv3dyI=",0)</f>
        <v>#REF!</v>
      </c>
      <c r="AJ74" s="34" t="e">
        <f>IF(#REF!,"AAAAAHv3dyM=",0)</f>
        <v>#REF!</v>
      </c>
      <c r="AK74" s="34" t="e">
        <f>IF(#REF!,"AAAAAHv3dyQ=",0)</f>
        <v>#REF!</v>
      </c>
      <c r="AL74" s="34" t="e">
        <f>IF(#REF!,"AAAAAHv3dyU=",0)</f>
        <v>#REF!</v>
      </c>
      <c r="AM74" s="34" t="e">
        <f>IF(#REF!,"AAAAAHv3dyY=",0)</f>
        <v>#REF!</v>
      </c>
      <c r="AN74" s="34" t="e">
        <f>IF(#REF!,"AAAAAHv3dyc=",0)</f>
        <v>#REF!</v>
      </c>
      <c r="AO74" s="34" t="e">
        <f>IF(#REF!,"AAAAAHv3dyg=",0)</f>
        <v>#REF!</v>
      </c>
      <c r="AP74" s="34" t="e">
        <f>IF(#REF!,"AAAAAHv3dyk=",0)</f>
        <v>#REF!</v>
      </c>
      <c r="AQ74" s="34" t="e">
        <f>IF(#REF!,"AAAAAHv3dyo=",0)</f>
        <v>#REF!</v>
      </c>
      <c r="AR74" s="34" t="e">
        <f>IF(#REF!,"AAAAAHv3dys=",0)</f>
        <v>#REF!</v>
      </c>
      <c r="AS74" s="34" t="e">
        <f>IF(#REF!,"AAAAAHv3dyw=",0)</f>
        <v>#REF!</v>
      </c>
      <c r="AT74" s="34" t="e">
        <f>IF(#REF!,"AAAAAHv3dy0=",0)</f>
        <v>#REF!</v>
      </c>
      <c r="AU74" s="34" t="e">
        <f>IF(#REF!,"AAAAAHv3dy4=",0)</f>
        <v>#REF!</v>
      </c>
      <c r="AV74" s="34" t="e">
        <f>IF(#REF!,"AAAAAHv3dy8=",0)</f>
        <v>#REF!</v>
      </c>
      <c r="AW74" s="34" t="e">
        <f>IF(#REF!,"AAAAAHv3dzA=",0)</f>
        <v>#REF!</v>
      </c>
      <c r="AX74" s="34" t="e">
        <f>IF(#REF!,"AAAAAHv3dzE=",0)</f>
        <v>#REF!</v>
      </c>
      <c r="AY74" s="34" t="e">
        <f>IF(#REF!,"AAAAAHv3dzI=",0)</f>
        <v>#REF!</v>
      </c>
      <c r="AZ74" s="34" t="e">
        <f>IF(#REF!,"AAAAAHv3dzM=",0)</f>
        <v>#REF!</v>
      </c>
      <c r="BA74" s="34" t="e">
        <f>IF(#REF!,"AAAAAHv3dzQ=",0)</f>
        <v>#REF!</v>
      </c>
      <c r="BB74" s="34" t="e">
        <f>IF(#REF!,"AAAAAHv3dzU=",0)</f>
        <v>#REF!</v>
      </c>
      <c r="BC74" s="34" t="e">
        <f>IF(#REF!,"AAAAAHv3dzY=",0)</f>
        <v>#REF!</v>
      </c>
      <c r="BD74" s="34" t="e">
        <f>IF(#REF!,"AAAAAHv3dzc=",0)</f>
        <v>#REF!</v>
      </c>
      <c r="BE74" s="34" t="e">
        <f>IF(#REF!,"AAAAAHv3dzg=",0)</f>
        <v>#REF!</v>
      </c>
      <c r="BF74" s="34" t="e">
        <f>IF(#REF!,"AAAAAHv3dzk=",0)</f>
        <v>#REF!</v>
      </c>
      <c r="BG74" s="34" t="e">
        <f>IF(#REF!,"AAAAAHv3dzo=",0)</f>
        <v>#REF!</v>
      </c>
      <c r="BH74" s="34" t="e">
        <f>IF(#REF!,"AAAAAHv3dzs=",0)</f>
        <v>#REF!</v>
      </c>
      <c r="BI74" s="34" t="e">
        <f>IF(#REF!,"AAAAAHv3dzw=",0)</f>
        <v>#REF!</v>
      </c>
      <c r="BJ74" s="34" t="e">
        <f>IF(#REF!,"AAAAAHv3dz0=",0)</f>
        <v>#REF!</v>
      </c>
      <c r="BK74" s="34" t="e">
        <f>IF(#REF!,"AAAAAHv3dz4=",0)</f>
        <v>#REF!</v>
      </c>
      <c r="BL74" s="34" t="e">
        <f>IF(#REF!,"AAAAAHv3dz8=",0)</f>
        <v>#REF!</v>
      </c>
      <c r="BM74" s="34" t="e">
        <f>IF(#REF!,"AAAAAHv3d0A=",0)</f>
        <v>#REF!</v>
      </c>
      <c r="BN74" s="34" t="e">
        <f>IF(#REF!,"AAAAAHv3d0E=",0)</f>
        <v>#REF!</v>
      </c>
      <c r="BO74" s="34" t="e">
        <f>IF(#REF!,"AAAAAHv3d0I=",0)</f>
        <v>#REF!</v>
      </c>
      <c r="BP74" s="34" t="e">
        <f>IF(#REF!,"AAAAAHv3d0M=",0)</f>
        <v>#REF!</v>
      </c>
      <c r="BQ74" s="34" t="e">
        <f>IF(#REF!,"AAAAAHv3d0Q=",0)</f>
        <v>#REF!</v>
      </c>
      <c r="BR74" s="34" t="e">
        <f>IF(#REF!,"AAAAAHv3d0U=",0)</f>
        <v>#REF!</v>
      </c>
      <c r="BS74" s="34" t="e">
        <f>IF(#REF!,"AAAAAHv3d0Y=",0)</f>
        <v>#REF!</v>
      </c>
      <c r="BT74" s="34" t="e">
        <f>IF(#REF!,"AAAAAHv3d0c=",0)</f>
        <v>#REF!</v>
      </c>
      <c r="BU74" s="34" t="e">
        <f>IF(#REF!,"AAAAAHv3d0g=",0)</f>
        <v>#REF!</v>
      </c>
      <c r="BV74" s="34" t="e">
        <f>IF(#REF!,"AAAAAHv3d0k=",0)</f>
        <v>#REF!</v>
      </c>
      <c r="BW74" s="34" t="e">
        <f>IF(#REF!,"AAAAAHv3d0o=",0)</f>
        <v>#REF!</v>
      </c>
      <c r="BX74" s="34" t="e">
        <f>IF(#REF!,"AAAAAHv3d0s=",0)</f>
        <v>#REF!</v>
      </c>
      <c r="BY74" s="34" t="e">
        <f>IF(#REF!,"AAAAAHv3d0w=",0)</f>
        <v>#REF!</v>
      </c>
      <c r="BZ74" s="34" t="e">
        <f>IF(#REF!,"AAAAAHv3d00=",0)</f>
        <v>#REF!</v>
      </c>
      <c r="CA74" s="34" t="e">
        <f>IF(#REF!,"AAAAAHv3d04=",0)</f>
        <v>#REF!</v>
      </c>
      <c r="CB74" s="34" t="e">
        <f>IF(#REF!,"AAAAAHv3d08=",0)</f>
        <v>#REF!</v>
      </c>
      <c r="CC74" s="34" t="e">
        <f>IF(#REF!,"AAAAAHv3d1A=",0)</f>
        <v>#REF!</v>
      </c>
      <c r="CD74" s="34" t="e">
        <f>IF(#REF!,"AAAAAHv3d1E=",0)</f>
        <v>#REF!</v>
      </c>
      <c r="CE74" s="34" t="e">
        <f>IF(#REF!,"AAAAAHv3d1I=",0)</f>
        <v>#REF!</v>
      </c>
      <c r="CF74" s="34" t="e">
        <f>IF(#REF!,"AAAAAHv3d1M=",0)</f>
        <v>#REF!</v>
      </c>
      <c r="CG74" s="34" t="e">
        <f>IF(#REF!,"AAAAAHv3d1Q=",0)</f>
        <v>#REF!</v>
      </c>
      <c r="CH74" s="34" t="e">
        <f>IF(#REF!,"AAAAAHv3d1U=",0)</f>
        <v>#REF!</v>
      </c>
      <c r="CI74" s="34" t="e">
        <f>IF(#REF!,"AAAAAHv3d1Y=",0)</f>
        <v>#REF!</v>
      </c>
      <c r="CJ74" s="34" t="e">
        <f>IF(#REF!,"AAAAAHv3d1c=",0)</f>
        <v>#REF!</v>
      </c>
      <c r="CK74" s="34" t="e">
        <f>IF(#REF!,"AAAAAHv3d1g=",0)</f>
        <v>#REF!</v>
      </c>
      <c r="CL74" s="34" t="e">
        <f>IF(#REF!,"AAAAAHv3d1k=",0)</f>
        <v>#REF!</v>
      </c>
      <c r="CM74" s="34" t="e">
        <f>IF(#REF!,"AAAAAHv3d1o=",0)</f>
        <v>#REF!</v>
      </c>
      <c r="CN74" s="34" t="e">
        <f>IF(#REF!,"AAAAAHv3d1s=",0)</f>
        <v>#REF!</v>
      </c>
      <c r="CO74" s="34" t="e">
        <f>IF(#REF!,"AAAAAHv3d1w=",0)</f>
        <v>#REF!</v>
      </c>
      <c r="CP74" s="34" t="e">
        <f>IF(#REF!,"AAAAAHv3d10=",0)</f>
        <v>#REF!</v>
      </c>
      <c r="CQ74" s="34" t="e">
        <f>IF(#REF!,"AAAAAHv3d14=",0)</f>
        <v>#REF!</v>
      </c>
      <c r="CR74" s="34" t="e">
        <f>IF(#REF!,"AAAAAHv3d18=",0)</f>
        <v>#REF!</v>
      </c>
      <c r="CS74" s="34" t="e">
        <f>IF(#REF!,"AAAAAHv3d2A=",0)</f>
        <v>#REF!</v>
      </c>
      <c r="CT74" s="34" t="e">
        <f>IF(#REF!,"AAAAAHv3d2E=",0)</f>
        <v>#REF!</v>
      </c>
      <c r="CU74" s="34" t="e">
        <f>IF(#REF!,"AAAAAHv3d2I=",0)</f>
        <v>#REF!</v>
      </c>
      <c r="CV74" s="34" t="e">
        <f>IF(#REF!,"AAAAAHv3d2M=",0)</f>
        <v>#REF!</v>
      </c>
      <c r="CW74" s="34" t="e">
        <f>IF(#REF!,"AAAAAHv3d2Q=",0)</f>
        <v>#REF!</v>
      </c>
      <c r="CX74" s="34" t="e">
        <f>IF(#REF!,"AAAAAHv3d2U=",0)</f>
        <v>#REF!</v>
      </c>
      <c r="CY74" s="34" t="e">
        <f>IF(#REF!,"AAAAAHv3d2Y=",0)</f>
        <v>#REF!</v>
      </c>
      <c r="CZ74" s="34" t="e">
        <f>IF(#REF!,"AAAAAHv3d2c=",0)</f>
        <v>#REF!</v>
      </c>
      <c r="DA74" s="34" t="e">
        <f>IF(#REF!,"AAAAAHv3d2g=",0)</f>
        <v>#REF!</v>
      </c>
      <c r="DB74" s="34" t="e">
        <f>IF(#REF!,"AAAAAHv3d2k=",0)</f>
        <v>#REF!</v>
      </c>
      <c r="DC74" s="34" t="e">
        <f>IF(#REF!,"AAAAAHv3d2o=",0)</f>
        <v>#REF!</v>
      </c>
      <c r="DD74" s="34" t="e">
        <f>IF(#REF!,"AAAAAHv3d2s=",0)</f>
        <v>#REF!</v>
      </c>
      <c r="DE74" s="34" t="e">
        <f>IF(#REF!,"AAAAAHv3d2w=",0)</f>
        <v>#REF!</v>
      </c>
      <c r="DF74" s="34" t="e">
        <f>IF(#REF!,"AAAAAHv3d20=",0)</f>
        <v>#REF!</v>
      </c>
      <c r="DG74" s="34" t="e">
        <f>IF(#REF!,"AAAAAHv3d24=",0)</f>
        <v>#REF!</v>
      </c>
      <c r="DH74" s="34" t="e">
        <f>IF(#REF!,"AAAAAHv3d28=",0)</f>
        <v>#REF!</v>
      </c>
      <c r="DI74" s="34" t="e">
        <f>IF(#REF!,"AAAAAHv3d3A=",0)</f>
        <v>#REF!</v>
      </c>
      <c r="DJ74" s="34" t="e">
        <f>IF(#REF!,"AAAAAHv3d3E=",0)</f>
        <v>#REF!</v>
      </c>
      <c r="DK74" s="34" t="e">
        <f>IF(#REF!,"AAAAAHv3d3I=",0)</f>
        <v>#REF!</v>
      </c>
      <c r="DL74" s="34" t="e">
        <f>IF(#REF!,"AAAAAHv3d3M=",0)</f>
        <v>#REF!</v>
      </c>
      <c r="DM74" s="34" t="e">
        <f>IF(#REF!,"AAAAAHv3d3Q=",0)</f>
        <v>#REF!</v>
      </c>
      <c r="DN74" s="34" t="e">
        <f>IF(#REF!,"AAAAAHv3d3U=",0)</f>
        <v>#REF!</v>
      </c>
      <c r="DO74" s="34" t="e">
        <f>IF(#REF!,"AAAAAHv3d3Y=",0)</f>
        <v>#REF!</v>
      </c>
      <c r="DP74" s="34" t="e">
        <f>IF(#REF!,"AAAAAHv3d3c=",0)</f>
        <v>#REF!</v>
      </c>
      <c r="DQ74" s="34" t="e">
        <f>IF(#REF!,"AAAAAHv3d3g=",0)</f>
        <v>#REF!</v>
      </c>
      <c r="DR74" s="34" t="e">
        <f>IF(#REF!,"AAAAAHv3d3k=",0)</f>
        <v>#REF!</v>
      </c>
      <c r="DS74" s="34" t="e">
        <f>IF(#REF!,"AAAAAHv3d3o=",0)</f>
        <v>#REF!</v>
      </c>
      <c r="DT74" s="34" t="e">
        <f>IF(#REF!,"AAAAAHv3d3s=",0)</f>
        <v>#REF!</v>
      </c>
      <c r="DU74" s="34" t="e">
        <f>IF(#REF!,"AAAAAHv3d3w=",0)</f>
        <v>#REF!</v>
      </c>
      <c r="DV74" s="34" t="e">
        <f>IF(#REF!,"AAAAAHv3d30=",0)</f>
        <v>#REF!</v>
      </c>
      <c r="DW74" s="34" t="e">
        <f>IF(#REF!,"AAAAAHv3d34=",0)</f>
        <v>#REF!</v>
      </c>
      <c r="DX74" s="34" t="e">
        <f>IF(#REF!,"AAAAAHv3d38=",0)</f>
        <v>#REF!</v>
      </c>
      <c r="DY74" s="34" t="e">
        <f>IF(#REF!,"AAAAAHv3d4A=",0)</f>
        <v>#REF!</v>
      </c>
      <c r="DZ74" s="34" t="e">
        <f>IF(#REF!,"AAAAAHv3d4E=",0)</f>
        <v>#REF!</v>
      </c>
      <c r="EA74" s="34" t="e">
        <f>IF(#REF!,"AAAAAHv3d4I=",0)</f>
        <v>#REF!</v>
      </c>
      <c r="EB74" s="34" t="e">
        <f>IF(#REF!,"AAAAAHv3d4M=",0)</f>
        <v>#REF!</v>
      </c>
      <c r="EC74" s="34" t="e">
        <f>IF(#REF!,"AAAAAHv3d4Q=",0)</f>
        <v>#REF!</v>
      </c>
      <c r="ED74" s="34" t="e">
        <f>IF(#REF!,"AAAAAHv3d4U=",0)</f>
        <v>#REF!</v>
      </c>
      <c r="EE74" s="34" t="e">
        <f>IF(#REF!,"AAAAAHv3d4Y=",0)</f>
        <v>#REF!</v>
      </c>
      <c r="EF74" s="34" t="e">
        <f>IF(#REF!,"AAAAAHv3d4c=",0)</f>
        <v>#REF!</v>
      </c>
      <c r="EG74" s="34" t="e">
        <f>IF(#REF!,"AAAAAHv3d4g=",0)</f>
        <v>#REF!</v>
      </c>
      <c r="EH74" s="34" t="e">
        <f>IF(#REF!,"AAAAAHv3d4k=",0)</f>
        <v>#REF!</v>
      </c>
      <c r="EI74" s="34" t="e">
        <f>IF(#REF!,"AAAAAHv3d4o=",0)</f>
        <v>#REF!</v>
      </c>
      <c r="EJ74" s="34" t="e">
        <f>IF(#REF!,"AAAAAHv3d4s=",0)</f>
        <v>#REF!</v>
      </c>
      <c r="EK74" s="34" t="e">
        <f>IF(#REF!,"AAAAAHv3d4w=",0)</f>
        <v>#REF!</v>
      </c>
      <c r="EL74" s="34" t="e">
        <f>IF(#REF!,"AAAAAHv3d40=",0)</f>
        <v>#REF!</v>
      </c>
      <c r="EM74" s="34" t="e">
        <f>IF(#REF!,"AAAAAHv3d44=",0)</f>
        <v>#REF!</v>
      </c>
      <c r="EN74" s="34" t="e">
        <f>IF(#REF!,"AAAAAHv3d48=",0)</f>
        <v>#REF!</v>
      </c>
      <c r="EO74" s="34" t="e">
        <f>IF(#REF!,"AAAAAHv3d5A=",0)</f>
        <v>#REF!</v>
      </c>
      <c r="EP74" s="34" t="e">
        <f>IF(#REF!,"AAAAAHv3d5E=",0)</f>
        <v>#REF!</v>
      </c>
      <c r="EQ74" s="34" t="e">
        <f>IF(#REF!,"AAAAAHv3d5I=",0)</f>
        <v>#REF!</v>
      </c>
      <c r="ER74" s="34" t="e">
        <f>IF(#REF!,"AAAAAHv3d5M=",0)</f>
        <v>#REF!</v>
      </c>
      <c r="ES74" s="34" t="e">
        <f>IF(#REF!,"AAAAAHv3d5Q=",0)</f>
        <v>#REF!</v>
      </c>
      <c r="ET74" s="34" t="e">
        <f>IF(#REF!,"AAAAAHv3d5U=",0)</f>
        <v>#REF!</v>
      </c>
      <c r="EU74" s="34" t="e">
        <f>IF(#REF!,"AAAAAHv3d5Y=",0)</f>
        <v>#REF!</v>
      </c>
      <c r="EV74" s="34" t="e">
        <f>IF(#REF!,"AAAAAHv3d5c=",0)</f>
        <v>#REF!</v>
      </c>
      <c r="EW74" s="34" t="e">
        <f>IF(#REF!,"AAAAAHv3d5g=",0)</f>
        <v>#REF!</v>
      </c>
      <c r="EX74" s="34" t="e">
        <f>IF(#REF!,"AAAAAHv3d5k=",0)</f>
        <v>#REF!</v>
      </c>
      <c r="EY74" s="34" t="e">
        <f>IF(#REF!,"AAAAAHv3d5o=",0)</f>
        <v>#REF!</v>
      </c>
      <c r="EZ74" s="34" t="e">
        <f>IF(#REF!,"AAAAAHv3d5s=",0)</f>
        <v>#REF!</v>
      </c>
      <c r="FA74" s="34" t="e">
        <f>IF(#REF!,"AAAAAHv3d5w=",0)</f>
        <v>#REF!</v>
      </c>
      <c r="FB74" s="34" t="e">
        <f>IF(#REF!,"AAAAAHv3d50=",0)</f>
        <v>#REF!</v>
      </c>
      <c r="FC74" s="34" t="e">
        <f>IF(#REF!,"AAAAAHv3d54=",0)</f>
        <v>#REF!</v>
      </c>
      <c r="FD74" s="34" t="e">
        <f>IF(#REF!,"AAAAAHv3d58=",0)</f>
        <v>#REF!</v>
      </c>
      <c r="FE74" s="34" t="e">
        <f>IF(#REF!,"AAAAAHv3d6A=",0)</f>
        <v>#REF!</v>
      </c>
      <c r="FF74" s="34" t="e">
        <f>IF(#REF!,"AAAAAHv3d6E=",0)</f>
        <v>#REF!</v>
      </c>
      <c r="FG74" s="34" t="e">
        <f>IF(#REF!,"AAAAAHv3d6I=",0)</f>
        <v>#REF!</v>
      </c>
      <c r="FH74" s="34" t="e">
        <f>IF(#REF!,"AAAAAHv3d6M=",0)</f>
        <v>#REF!</v>
      </c>
      <c r="FI74" s="34" t="e">
        <f>IF(#REF!,"AAAAAHv3d6Q=",0)</f>
        <v>#REF!</v>
      </c>
      <c r="FJ74" s="34" t="e">
        <f>IF(#REF!,"AAAAAHv3d6U=",0)</f>
        <v>#REF!</v>
      </c>
      <c r="FK74" s="34" t="e">
        <f>IF(#REF!,"AAAAAHv3d6Y=",0)</f>
        <v>#REF!</v>
      </c>
      <c r="FL74" s="34" t="e">
        <f>IF(#REF!,"AAAAAHv3d6c=",0)</f>
        <v>#REF!</v>
      </c>
      <c r="FM74" s="34" t="e">
        <f>IF(#REF!,"AAAAAHv3d6g=",0)</f>
        <v>#REF!</v>
      </c>
      <c r="FN74" s="34" t="e">
        <f>IF(#REF!,"AAAAAHv3d6k=",0)</f>
        <v>#REF!</v>
      </c>
      <c r="FO74" s="34" t="e">
        <f>IF(#REF!,"AAAAAHv3d6o=",0)</f>
        <v>#REF!</v>
      </c>
      <c r="FP74" s="34" t="e">
        <f>IF(#REF!,"AAAAAHv3d6s=",0)</f>
        <v>#REF!</v>
      </c>
      <c r="FQ74" s="34" t="e">
        <f>IF(#REF!,"AAAAAHv3d6w=",0)</f>
        <v>#REF!</v>
      </c>
      <c r="FR74" s="34" t="e">
        <f>IF(#REF!,"AAAAAHv3d60=",0)</f>
        <v>#REF!</v>
      </c>
      <c r="FS74" s="34" t="e">
        <f>IF(#REF!,"AAAAAHv3d64=",0)</f>
        <v>#REF!</v>
      </c>
      <c r="FT74" s="34" t="e">
        <f>IF(#REF!,"AAAAAHv3d68=",0)</f>
        <v>#REF!</v>
      </c>
      <c r="FU74" s="34" t="e">
        <f>IF(#REF!,"AAAAAHv3d7A=",0)</f>
        <v>#REF!</v>
      </c>
      <c r="FV74" s="34" t="e">
        <f>IF(#REF!,"AAAAAHv3d7E=",0)</f>
        <v>#REF!</v>
      </c>
      <c r="FW74" s="34" t="e">
        <f>IF(#REF!,"AAAAAHv3d7I=",0)</f>
        <v>#REF!</v>
      </c>
      <c r="FX74" s="34" t="e">
        <f>IF(#REF!,"AAAAAHv3d7M=",0)</f>
        <v>#REF!</v>
      </c>
      <c r="FY74" s="34" t="e">
        <f>IF(#REF!,"AAAAAHv3d7Q=",0)</f>
        <v>#REF!</v>
      </c>
      <c r="FZ74" s="34" t="e">
        <f>IF(#REF!,"AAAAAHv3d7U=",0)</f>
        <v>#REF!</v>
      </c>
      <c r="GA74" s="34" t="e">
        <f>IF(#REF!,"AAAAAHv3d7Y=",0)</f>
        <v>#REF!</v>
      </c>
      <c r="GB74" s="34" t="e">
        <f>IF(#REF!,"AAAAAHv3d7c=",0)</f>
        <v>#REF!</v>
      </c>
      <c r="GC74" s="34" t="e">
        <f>IF(#REF!,"AAAAAHv3d7g=",0)</f>
        <v>#REF!</v>
      </c>
      <c r="GD74" s="34" t="e">
        <f>IF(#REF!,"AAAAAHv3d7k=",0)</f>
        <v>#REF!</v>
      </c>
      <c r="GE74" s="34" t="e">
        <f>IF(#REF!,"AAAAAHv3d7o=",0)</f>
        <v>#REF!</v>
      </c>
      <c r="GF74" s="34" t="e">
        <f>IF(#REF!,"AAAAAHv3d7s=",0)</f>
        <v>#REF!</v>
      </c>
      <c r="GG74" s="34" t="e">
        <f>IF(#REF!,"AAAAAHv3d7w=",0)</f>
        <v>#REF!</v>
      </c>
      <c r="GH74" s="34" t="e">
        <f>IF(#REF!,"AAAAAHv3d70=",0)</f>
        <v>#REF!</v>
      </c>
      <c r="GI74" s="34" t="e">
        <f>IF(#REF!,"AAAAAHv3d74=",0)</f>
        <v>#REF!</v>
      </c>
      <c r="GJ74" s="34" t="e">
        <f>IF(#REF!,"AAAAAHv3d78=",0)</f>
        <v>#REF!</v>
      </c>
      <c r="GK74" s="34" t="e">
        <f>IF(#REF!,"AAAAAHv3d8A=",0)</f>
        <v>#REF!</v>
      </c>
      <c r="GL74" s="34" t="e">
        <f>IF(#REF!,"AAAAAHv3d8E=",0)</f>
        <v>#REF!</v>
      </c>
      <c r="GM74" s="34" t="e">
        <f>IF(#REF!,"AAAAAHv3d8I=",0)</f>
        <v>#REF!</v>
      </c>
      <c r="GN74" s="34" t="e">
        <f>IF(#REF!,"AAAAAHv3d8M=",0)</f>
        <v>#REF!</v>
      </c>
      <c r="GO74" s="34" t="e">
        <f>IF(#REF!,"AAAAAHv3d8Q=",0)</f>
        <v>#REF!</v>
      </c>
      <c r="GP74" s="34" t="e">
        <f>IF(#REF!,"AAAAAHv3d8U=",0)</f>
        <v>#REF!</v>
      </c>
      <c r="GQ74" s="34" t="e">
        <f>IF(#REF!,"AAAAAHv3d8Y=",0)</f>
        <v>#REF!</v>
      </c>
      <c r="GR74" s="34" t="e">
        <f>IF(#REF!,"AAAAAHv3d8c=",0)</f>
        <v>#REF!</v>
      </c>
      <c r="GS74" s="34" t="e">
        <f>IF(#REF!,"AAAAAHv3d8g=",0)</f>
        <v>#REF!</v>
      </c>
      <c r="GT74" s="34" t="e">
        <f>IF(#REF!,"AAAAAHv3d8k=",0)</f>
        <v>#REF!</v>
      </c>
      <c r="GU74" s="34" t="e">
        <f>IF(#REF!,"AAAAAHv3d8o=",0)</f>
        <v>#REF!</v>
      </c>
      <c r="GV74" s="34" t="e">
        <f>IF(#REF!,"AAAAAHv3d8s=",0)</f>
        <v>#REF!</v>
      </c>
      <c r="GW74" s="34" t="e">
        <f>IF(#REF!,"AAAAAHv3d8w=",0)</f>
        <v>#REF!</v>
      </c>
      <c r="GX74" s="34" t="e">
        <f>IF(#REF!,"AAAAAHv3d80=",0)</f>
        <v>#REF!</v>
      </c>
      <c r="GY74" s="34" t="e">
        <f>IF(#REF!,"AAAAAHv3d84=",0)</f>
        <v>#REF!</v>
      </c>
      <c r="GZ74" s="34" t="e">
        <f>IF(#REF!,"AAAAAHv3d88=",0)</f>
        <v>#REF!</v>
      </c>
      <c r="HA74" s="34" t="e">
        <f>IF(#REF!,"AAAAAHv3d9A=",0)</f>
        <v>#REF!</v>
      </c>
      <c r="HB74" s="34" t="e">
        <f>IF(#REF!,"AAAAAHv3d9E=",0)</f>
        <v>#REF!</v>
      </c>
      <c r="HC74" s="34" t="e">
        <f>IF(#REF!,"AAAAAHv3d9I=",0)</f>
        <v>#REF!</v>
      </c>
      <c r="HD74" s="34" t="e">
        <f>IF(#REF!,"AAAAAHv3d9M=",0)</f>
        <v>#REF!</v>
      </c>
      <c r="HE74" s="34" t="e">
        <f>IF(#REF!,"AAAAAHv3d9Q=",0)</f>
        <v>#REF!</v>
      </c>
      <c r="HF74" s="34" t="e">
        <f>IF(#REF!,"AAAAAHv3d9U=",0)</f>
        <v>#REF!</v>
      </c>
      <c r="HG74" s="34" t="e">
        <f>IF(#REF!,"AAAAAHv3d9Y=",0)</f>
        <v>#REF!</v>
      </c>
      <c r="HH74" s="34" t="e">
        <f>IF(#REF!,"AAAAAHv3d9c=",0)</f>
        <v>#REF!</v>
      </c>
      <c r="HI74" s="34" t="e">
        <f>IF(#REF!,"AAAAAHv3d9g=",0)</f>
        <v>#REF!</v>
      </c>
      <c r="HJ74" s="34" t="e">
        <f>IF(#REF!,"AAAAAHv3d9k=",0)</f>
        <v>#REF!</v>
      </c>
      <c r="HK74" s="34" t="e">
        <f>IF(#REF!,"AAAAAHv3d9o=",0)</f>
        <v>#REF!</v>
      </c>
      <c r="HL74" s="34" t="e">
        <f>IF(#REF!,"AAAAAHv3d9s=",0)</f>
        <v>#REF!</v>
      </c>
      <c r="HM74" s="34" t="e">
        <f>IF(#REF!,"AAAAAHv3d9w=",0)</f>
        <v>#REF!</v>
      </c>
      <c r="HN74" s="34" t="e">
        <f>IF(#REF!,"AAAAAHv3d90=",0)</f>
        <v>#REF!</v>
      </c>
      <c r="HO74" s="34" t="e">
        <f>IF(#REF!,"AAAAAHv3d94=",0)</f>
        <v>#REF!</v>
      </c>
      <c r="HP74" s="34" t="e">
        <f>IF(#REF!,"AAAAAHv3d98=",0)</f>
        <v>#REF!</v>
      </c>
      <c r="HQ74" s="34" t="e">
        <f>IF(#REF!,"AAAAAHv3d+A=",0)</f>
        <v>#REF!</v>
      </c>
      <c r="HR74" s="34" t="e">
        <f>IF(#REF!,"AAAAAHv3d+E=",0)</f>
        <v>#REF!</v>
      </c>
      <c r="HS74" s="34" t="e">
        <f>IF(#REF!,"AAAAAHv3d+I=",0)</f>
        <v>#REF!</v>
      </c>
      <c r="HT74" s="34" t="e">
        <f>IF(#REF!,"AAAAAHv3d+M=",0)</f>
        <v>#REF!</v>
      </c>
      <c r="HU74" s="34" t="e">
        <f>IF(#REF!,"AAAAAHv3d+Q=",0)</f>
        <v>#REF!</v>
      </c>
      <c r="HV74" s="34" t="e">
        <f>IF(#REF!,"AAAAAHv3d+U=",0)</f>
        <v>#REF!</v>
      </c>
      <c r="HW74" s="34" t="e">
        <f>IF(#REF!,"AAAAAHv3d+Y=",0)</f>
        <v>#REF!</v>
      </c>
      <c r="HX74" s="34" t="e">
        <f>IF(#REF!,"AAAAAHv3d+c=",0)</f>
        <v>#REF!</v>
      </c>
      <c r="HY74" s="34" t="e">
        <f>IF(#REF!,"AAAAAHv3d+g=",0)</f>
        <v>#REF!</v>
      </c>
      <c r="HZ74" s="34" t="e">
        <f>IF(#REF!,"AAAAAHv3d+k=",0)</f>
        <v>#REF!</v>
      </c>
      <c r="IA74" s="34" t="e">
        <f>IF(#REF!,"AAAAAHv3d+o=",0)</f>
        <v>#REF!</v>
      </c>
      <c r="IB74" s="34" t="e">
        <f>IF(#REF!,"AAAAAHv3d+s=",0)</f>
        <v>#REF!</v>
      </c>
      <c r="IC74" s="34" t="e">
        <f>IF(#REF!,"AAAAAHv3d+w=",0)</f>
        <v>#REF!</v>
      </c>
      <c r="ID74" s="34" t="e">
        <f>IF(#REF!,"AAAAAHv3d+0=",0)</f>
        <v>#REF!</v>
      </c>
      <c r="IE74" s="34" t="e">
        <f>IF(#REF!,"AAAAAHv3d+4=",0)</f>
        <v>#REF!</v>
      </c>
      <c r="IF74" s="34" t="e">
        <f>IF(#REF!,"AAAAAHv3d+8=",0)</f>
        <v>#REF!</v>
      </c>
      <c r="IG74" s="34" t="e">
        <f>IF(#REF!,"AAAAAHv3d/A=",0)</f>
        <v>#REF!</v>
      </c>
      <c r="IH74" s="34" t="e">
        <f>IF(#REF!,"AAAAAHv3d/E=",0)</f>
        <v>#REF!</v>
      </c>
      <c r="II74" s="34" t="e">
        <f>IF(#REF!,"AAAAAHv3d/I=",0)</f>
        <v>#REF!</v>
      </c>
      <c r="IJ74" s="34" t="e">
        <f>IF(#REF!,"AAAAAHv3d/M=",0)</f>
        <v>#REF!</v>
      </c>
      <c r="IK74" s="34" t="e">
        <f>IF(#REF!,"AAAAAHv3d/Q=",0)</f>
        <v>#REF!</v>
      </c>
      <c r="IL74" s="34" t="e">
        <f>IF(#REF!,"AAAAAHv3d/U=",0)</f>
        <v>#REF!</v>
      </c>
      <c r="IM74" s="34" t="e">
        <f>IF(#REF!,"AAAAAHv3d/Y=",0)</f>
        <v>#REF!</v>
      </c>
      <c r="IN74" s="34" t="e">
        <f>IF(#REF!,"AAAAAHv3d/c=",0)</f>
        <v>#REF!</v>
      </c>
      <c r="IO74" s="34" t="e">
        <f>IF(#REF!,"AAAAAHv3d/g=",0)</f>
        <v>#REF!</v>
      </c>
      <c r="IP74" s="34" t="e">
        <f>IF(#REF!,"AAAAAHv3d/k=",0)</f>
        <v>#REF!</v>
      </c>
      <c r="IQ74" s="34" t="e">
        <f>IF(#REF!,"AAAAAHv3d/o=",0)</f>
        <v>#REF!</v>
      </c>
      <c r="IR74" s="34" t="e">
        <f>IF(#REF!,"AAAAAHv3d/s=",0)</f>
        <v>#REF!</v>
      </c>
      <c r="IS74" s="34" t="e">
        <f>IF(#REF!,"AAAAAHv3d/w=",0)</f>
        <v>#REF!</v>
      </c>
      <c r="IT74" s="34" t="e">
        <f>IF(#REF!,"AAAAAHv3d/0=",0)</f>
        <v>#REF!</v>
      </c>
      <c r="IU74" s="34" t="e">
        <f>IF(#REF!,"AAAAAHv3d/4=",0)</f>
        <v>#REF!</v>
      </c>
      <c r="IV74" s="34" t="e">
        <f>IF(#REF!,"AAAAAHv3d/8=",0)</f>
        <v>#REF!</v>
      </c>
    </row>
    <row r="75" spans="1:256" ht="12.75" customHeight="1" x14ac:dyDescent="0.2">
      <c r="A75" s="34" t="e">
        <f>IF(#REF!,"AAAAAGlZ3gA=",0)</f>
        <v>#REF!</v>
      </c>
      <c r="B75" s="34" t="e">
        <f>IF(#REF!,"AAAAAGlZ3gE=",0)</f>
        <v>#REF!</v>
      </c>
      <c r="C75" s="34" t="e">
        <f>IF(#REF!,"AAAAAGlZ3gI=",0)</f>
        <v>#REF!</v>
      </c>
      <c r="D75" s="34" t="e">
        <f>IF(#REF!,"AAAAAGlZ3gM=",0)</f>
        <v>#REF!</v>
      </c>
      <c r="E75" s="34" t="e">
        <f>IF(#REF!,"AAAAAGlZ3gQ=",0)</f>
        <v>#REF!</v>
      </c>
      <c r="F75" s="34" t="e">
        <f>IF(#REF!,"AAAAAGlZ3gU=",0)</f>
        <v>#REF!</v>
      </c>
      <c r="G75" s="34" t="e">
        <f>IF(#REF!,"AAAAAGlZ3gY=",0)</f>
        <v>#REF!</v>
      </c>
      <c r="H75" s="34" t="e">
        <f>IF(#REF!,"AAAAAGlZ3gc=",0)</f>
        <v>#REF!</v>
      </c>
      <c r="I75" s="34" t="e">
        <f>IF(#REF!,"AAAAAGlZ3gg=",0)</f>
        <v>#REF!</v>
      </c>
      <c r="J75" s="34" t="e">
        <f>IF(#REF!,"AAAAAGlZ3gk=",0)</f>
        <v>#REF!</v>
      </c>
      <c r="K75" s="34" t="e">
        <f>IF(#REF!,"AAAAAGlZ3go=",0)</f>
        <v>#REF!</v>
      </c>
      <c r="L75" s="34" t="e">
        <f>IF(#REF!,"AAAAAGlZ3gs=",0)</f>
        <v>#REF!</v>
      </c>
      <c r="M75" s="34" t="e">
        <f>IF(#REF!,"AAAAAGlZ3gw=",0)</f>
        <v>#REF!</v>
      </c>
      <c r="N75" s="34" t="e">
        <f>IF(#REF!,"AAAAAGlZ3g0=",0)</f>
        <v>#REF!</v>
      </c>
      <c r="O75" s="34" t="e">
        <f>IF(#REF!,"AAAAAGlZ3g4=",0)</f>
        <v>#REF!</v>
      </c>
      <c r="P75" s="34" t="e">
        <f>IF(#REF!,"AAAAAGlZ3g8=",0)</f>
        <v>#REF!</v>
      </c>
      <c r="Q75" s="34" t="e">
        <f>IF(#REF!,"AAAAAGlZ3hA=",0)</f>
        <v>#REF!</v>
      </c>
      <c r="R75" s="34" t="e">
        <f>IF(#REF!,"AAAAAGlZ3hE=",0)</f>
        <v>#REF!</v>
      </c>
      <c r="S75" s="34" t="e">
        <f>IF(#REF!,"AAAAAGlZ3hI=",0)</f>
        <v>#REF!</v>
      </c>
      <c r="T75" s="34" t="e">
        <f>IF(#REF!,"AAAAAGlZ3hM=",0)</f>
        <v>#REF!</v>
      </c>
      <c r="U75" s="34" t="e">
        <f>IF(#REF!,"AAAAAGlZ3hQ=",0)</f>
        <v>#REF!</v>
      </c>
      <c r="V75" s="34" t="e">
        <f>IF(#REF!,"AAAAAGlZ3hU=",0)</f>
        <v>#REF!</v>
      </c>
      <c r="W75" s="34" t="e">
        <f>IF(#REF!,"AAAAAGlZ3hY=",0)</f>
        <v>#REF!</v>
      </c>
      <c r="X75" s="34" t="e">
        <f>IF(#REF!,"AAAAAGlZ3hc=",0)</f>
        <v>#REF!</v>
      </c>
      <c r="Y75" s="34" t="e">
        <f>IF(#REF!,"AAAAAGlZ3hg=",0)</f>
        <v>#REF!</v>
      </c>
      <c r="Z75" s="34" t="e">
        <f>IF(#REF!,"AAAAAGlZ3hk=",0)</f>
        <v>#REF!</v>
      </c>
      <c r="AA75" s="34" t="e">
        <f>IF(#REF!,"AAAAAGlZ3ho=",0)</f>
        <v>#REF!</v>
      </c>
      <c r="AB75" s="34" t="e">
        <f>IF(#REF!,"AAAAAGlZ3hs=",0)</f>
        <v>#REF!</v>
      </c>
      <c r="AC75" s="34" t="e">
        <f>IF(#REF!,"AAAAAGlZ3hw=",0)</f>
        <v>#REF!</v>
      </c>
      <c r="AD75" s="34" t="e">
        <f>IF(#REF!,"AAAAAGlZ3h0=",0)</f>
        <v>#REF!</v>
      </c>
      <c r="AE75" s="34" t="e">
        <f>IF(#REF!,"AAAAAGlZ3h4=",0)</f>
        <v>#REF!</v>
      </c>
      <c r="AF75" s="34" t="e">
        <f>IF(#REF!,"AAAAAGlZ3h8=",0)</f>
        <v>#REF!</v>
      </c>
      <c r="AG75" s="34" t="e">
        <f>IF(#REF!,"AAAAAGlZ3iA=",0)</f>
        <v>#REF!</v>
      </c>
      <c r="AH75" s="34" t="e">
        <f>IF(#REF!,"AAAAAGlZ3iE=",0)</f>
        <v>#REF!</v>
      </c>
      <c r="AI75" s="34" t="e">
        <f>IF(#REF!,"AAAAAGlZ3iI=",0)</f>
        <v>#REF!</v>
      </c>
      <c r="AJ75" s="34" t="e">
        <f>IF(#REF!,"AAAAAGlZ3iM=",0)</f>
        <v>#REF!</v>
      </c>
      <c r="AK75" s="34" t="e">
        <f>IF(#REF!,"AAAAAGlZ3iQ=",0)</f>
        <v>#REF!</v>
      </c>
      <c r="AL75" s="34" t="e">
        <f>IF(#REF!,"AAAAAGlZ3iU=",0)</f>
        <v>#REF!</v>
      </c>
      <c r="AM75" s="34" t="e">
        <f>IF(#REF!,"AAAAAGlZ3iY=",0)</f>
        <v>#REF!</v>
      </c>
      <c r="AN75" s="34" t="e">
        <f>IF(#REF!,"AAAAAGlZ3ic=",0)</f>
        <v>#REF!</v>
      </c>
      <c r="AO75" s="34" t="e">
        <f>IF(#REF!,"AAAAAGlZ3ig=",0)</f>
        <v>#REF!</v>
      </c>
      <c r="AP75" s="34" t="e">
        <f>IF(#REF!,"AAAAAGlZ3ik=",0)</f>
        <v>#REF!</v>
      </c>
      <c r="AQ75" s="34" t="e">
        <f>IF(#REF!,"AAAAAGlZ3io=",0)</f>
        <v>#REF!</v>
      </c>
      <c r="AR75" s="34" t="e">
        <f>IF(#REF!,"AAAAAGlZ3is=",0)</f>
        <v>#REF!</v>
      </c>
      <c r="AS75" s="34" t="e">
        <f>IF(#REF!,"AAAAAGlZ3iw=",0)</f>
        <v>#REF!</v>
      </c>
      <c r="AT75" s="34" t="e">
        <f>IF(#REF!,"AAAAAGlZ3i0=",0)</f>
        <v>#REF!</v>
      </c>
      <c r="AU75" s="34" t="e">
        <f>IF(#REF!,"AAAAAGlZ3i4=",0)</f>
        <v>#REF!</v>
      </c>
      <c r="AV75" s="34" t="e">
        <f>IF(#REF!,"AAAAAGlZ3i8=",0)</f>
        <v>#REF!</v>
      </c>
      <c r="AW75" s="34" t="e">
        <f>IF(#REF!,"AAAAAGlZ3jA=",0)</f>
        <v>#REF!</v>
      </c>
      <c r="AX75" s="34" t="e">
        <f>IF(#REF!,"AAAAAGlZ3jE=",0)</f>
        <v>#REF!</v>
      </c>
      <c r="AY75" s="34" t="e">
        <f>IF(#REF!,"AAAAAGlZ3jI=",0)</f>
        <v>#REF!</v>
      </c>
      <c r="AZ75" s="34" t="e">
        <f>IF(#REF!,"AAAAAGlZ3jM=",0)</f>
        <v>#REF!</v>
      </c>
      <c r="BA75" s="34" t="e">
        <f>IF(#REF!,"AAAAAGlZ3jQ=",0)</f>
        <v>#REF!</v>
      </c>
      <c r="BB75" s="34" t="e">
        <f>IF(#REF!,"AAAAAGlZ3jU=",0)</f>
        <v>#REF!</v>
      </c>
      <c r="BC75" s="34" t="e">
        <f>IF(#REF!,"AAAAAGlZ3jY=",0)</f>
        <v>#REF!</v>
      </c>
      <c r="BD75" s="34" t="e">
        <f>IF(#REF!,"AAAAAGlZ3jc=",0)</f>
        <v>#REF!</v>
      </c>
      <c r="BE75" s="34" t="e">
        <f>IF(#REF!,"AAAAAGlZ3jg=",0)</f>
        <v>#REF!</v>
      </c>
      <c r="BF75" s="34" t="e">
        <f>IF(#REF!,"AAAAAGlZ3jk=",0)</f>
        <v>#REF!</v>
      </c>
      <c r="BG75" s="34" t="e">
        <f>IF(#REF!,"AAAAAGlZ3jo=",0)</f>
        <v>#REF!</v>
      </c>
      <c r="BH75" s="34" t="e">
        <f>IF(#REF!,"AAAAAGlZ3js=",0)</f>
        <v>#REF!</v>
      </c>
      <c r="BI75" s="34" t="e">
        <f>IF(#REF!,"AAAAAGlZ3jw=",0)</f>
        <v>#REF!</v>
      </c>
      <c r="BJ75" s="34" t="e">
        <f>IF(#REF!,"AAAAAGlZ3j0=",0)</f>
        <v>#REF!</v>
      </c>
      <c r="BK75" s="34" t="e">
        <f>IF(#REF!,"AAAAAGlZ3j4=",0)</f>
        <v>#REF!</v>
      </c>
      <c r="BL75" s="34" t="e">
        <f>IF(#REF!,"AAAAAGlZ3j8=",0)</f>
        <v>#REF!</v>
      </c>
      <c r="BM75" s="34" t="e">
        <f>IF(#REF!,"AAAAAGlZ3kA=",0)</f>
        <v>#REF!</v>
      </c>
      <c r="BN75" s="34" t="e">
        <f>IF(#REF!,"AAAAAGlZ3kE=",0)</f>
        <v>#REF!</v>
      </c>
      <c r="BO75" s="34" t="e">
        <f>IF(#REF!,"AAAAAGlZ3kI=",0)</f>
        <v>#REF!</v>
      </c>
      <c r="BP75" s="34" t="e">
        <f>IF(#REF!,"AAAAAGlZ3kM=",0)</f>
        <v>#REF!</v>
      </c>
      <c r="BQ75" s="34" t="e">
        <f>IF(#REF!,"AAAAAGlZ3kQ=",0)</f>
        <v>#REF!</v>
      </c>
      <c r="BR75" s="34" t="e">
        <f>IF(#REF!,"AAAAAGlZ3kU=",0)</f>
        <v>#REF!</v>
      </c>
      <c r="BS75" s="34" t="e">
        <f>IF(#REF!,"AAAAAGlZ3kY=",0)</f>
        <v>#REF!</v>
      </c>
      <c r="BT75" s="34" t="e">
        <f>IF(#REF!,"AAAAAGlZ3kc=",0)</f>
        <v>#REF!</v>
      </c>
      <c r="BU75" s="34" t="e">
        <f>IF(#REF!,"AAAAAGlZ3kg=",0)</f>
        <v>#REF!</v>
      </c>
      <c r="BV75" s="34" t="e">
        <f>IF(#REF!,"AAAAAGlZ3kk=",0)</f>
        <v>#REF!</v>
      </c>
      <c r="BW75" s="34" t="e">
        <f>IF(#REF!,"AAAAAGlZ3ko=",0)</f>
        <v>#REF!</v>
      </c>
      <c r="BX75" s="34" t="e">
        <f>IF(#REF!,"AAAAAGlZ3ks=",0)</f>
        <v>#REF!</v>
      </c>
      <c r="BY75" s="34" t="e">
        <f>IF(#REF!,"AAAAAGlZ3kw=",0)</f>
        <v>#REF!</v>
      </c>
      <c r="BZ75" s="34" t="e">
        <f>IF(#REF!,"AAAAAGlZ3k0=",0)</f>
        <v>#REF!</v>
      </c>
      <c r="CA75" s="34" t="e">
        <f>IF(#REF!,"AAAAAGlZ3k4=",0)</f>
        <v>#REF!</v>
      </c>
      <c r="CB75" s="34" t="e">
        <f>IF(#REF!,"AAAAAGlZ3k8=",0)</f>
        <v>#REF!</v>
      </c>
      <c r="CC75" s="34" t="e">
        <f>IF(#REF!,"AAAAAGlZ3lA=",0)</f>
        <v>#REF!</v>
      </c>
      <c r="CD75" s="34" t="e">
        <f>IF(#REF!,"AAAAAGlZ3lE=",0)</f>
        <v>#REF!</v>
      </c>
      <c r="CE75" s="34" t="e">
        <f>IF(#REF!,"AAAAAGlZ3lI=",0)</f>
        <v>#REF!</v>
      </c>
      <c r="CF75" s="34" t="e">
        <f>IF(#REF!,"AAAAAGlZ3lM=",0)</f>
        <v>#REF!</v>
      </c>
      <c r="CG75" s="34" t="e">
        <f>IF(#REF!,"AAAAAGlZ3lQ=",0)</f>
        <v>#REF!</v>
      </c>
      <c r="CH75" s="34" t="e">
        <f>IF(#REF!,"AAAAAGlZ3lU=",0)</f>
        <v>#REF!</v>
      </c>
      <c r="CI75" s="34" t="e">
        <f>IF(#REF!,"AAAAAGlZ3lY=",0)</f>
        <v>#REF!</v>
      </c>
      <c r="CJ75" s="34" t="e">
        <f>IF(#REF!,"AAAAAGlZ3lc=",0)</f>
        <v>#REF!</v>
      </c>
      <c r="CK75" s="34" t="e">
        <f>IF(#REF!,"AAAAAGlZ3lg=",0)</f>
        <v>#REF!</v>
      </c>
      <c r="CL75" s="34" t="e">
        <f>IF(#REF!,"AAAAAGlZ3lk=",0)</f>
        <v>#REF!</v>
      </c>
      <c r="CM75" s="34" t="e">
        <f>IF(#REF!,"AAAAAGlZ3lo=",0)</f>
        <v>#REF!</v>
      </c>
      <c r="CN75" s="34" t="e">
        <f>IF(#REF!,"AAAAAGlZ3ls=",0)</f>
        <v>#REF!</v>
      </c>
      <c r="CO75" s="34" t="e">
        <f>IF(#REF!,"AAAAAGlZ3lw=",0)</f>
        <v>#REF!</v>
      </c>
      <c r="CP75" s="34" t="e">
        <f>IF(#REF!,"AAAAAGlZ3l0=",0)</f>
        <v>#REF!</v>
      </c>
      <c r="CQ75" s="34" t="e">
        <f>IF(#REF!,"AAAAAGlZ3l4=",0)</f>
        <v>#REF!</v>
      </c>
      <c r="CR75" s="34" t="e">
        <f>IF(#REF!,"AAAAAGlZ3l8=",0)</f>
        <v>#REF!</v>
      </c>
      <c r="CS75" s="34" t="e">
        <f>IF(#REF!,"AAAAAGlZ3mA=",0)</f>
        <v>#REF!</v>
      </c>
      <c r="CT75" s="34" t="e">
        <f>IF(#REF!,"AAAAAGlZ3mE=",0)</f>
        <v>#REF!</v>
      </c>
      <c r="CU75" s="34" t="e">
        <f>IF(#REF!,"AAAAAGlZ3mI=",0)</f>
        <v>#REF!</v>
      </c>
      <c r="CV75" s="34" t="e">
        <f>IF(#REF!,"AAAAAGlZ3mM=",0)</f>
        <v>#REF!</v>
      </c>
      <c r="CW75" s="34" t="e">
        <f>IF(#REF!,"AAAAAGlZ3mQ=",0)</f>
        <v>#REF!</v>
      </c>
      <c r="CX75" s="34" t="e">
        <f>IF(#REF!,"AAAAAGlZ3mU=",0)</f>
        <v>#REF!</v>
      </c>
      <c r="CY75" s="34" t="e">
        <f>IF(#REF!,"AAAAAGlZ3mY=",0)</f>
        <v>#REF!</v>
      </c>
      <c r="CZ75" s="34" t="e">
        <f>IF(#REF!,"AAAAAGlZ3mc=",0)</f>
        <v>#REF!</v>
      </c>
      <c r="DA75" s="34" t="e">
        <f>IF(#REF!,"AAAAAGlZ3mg=",0)</f>
        <v>#REF!</v>
      </c>
      <c r="DB75" s="34" t="e">
        <f>IF(#REF!,"AAAAAGlZ3mk=",0)</f>
        <v>#REF!</v>
      </c>
      <c r="DC75" s="34" t="e">
        <f>IF(#REF!,"AAAAAGlZ3mo=",0)</f>
        <v>#REF!</v>
      </c>
      <c r="DD75" s="34" t="e">
        <f>IF(#REF!,"AAAAAGlZ3ms=",0)</f>
        <v>#REF!</v>
      </c>
      <c r="DE75" s="34" t="e">
        <f>IF(#REF!,"AAAAAGlZ3mw=",0)</f>
        <v>#REF!</v>
      </c>
      <c r="DF75" s="34" t="e">
        <f>IF(#REF!,"AAAAAGlZ3m0=",0)</f>
        <v>#REF!</v>
      </c>
      <c r="DG75" s="34" t="e">
        <f>IF(#REF!,"AAAAAGlZ3m4=",0)</f>
        <v>#REF!</v>
      </c>
      <c r="DH75" s="34" t="e">
        <f>IF(#REF!,"AAAAAGlZ3m8=",0)</f>
        <v>#REF!</v>
      </c>
      <c r="DI75" s="34" t="e">
        <f>IF(#REF!,"AAAAAGlZ3nA=",0)</f>
        <v>#REF!</v>
      </c>
      <c r="DJ75" s="34" t="e">
        <f>IF(#REF!,"AAAAAGlZ3nE=",0)</f>
        <v>#REF!</v>
      </c>
      <c r="DK75" s="34" t="e">
        <f>IF(#REF!,"AAAAAGlZ3nI=",0)</f>
        <v>#REF!</v>
      </c>
      <c r="DL75" s="34" t="e">
        <f>IF(#REF!,"AAAAAGlZ3nM=",0)</f>
        <v>#REF!</v>
      </c>
      <c r="DM75" s="34" t="e">
        <f>IF(#REF!,"AAAAAGlZ3nQ=",0)</f>
        <v>#REF!</v>
      </c>
      <c r="DN75" s="34" t="e">
        <f>IF(#REF!,"AAAAAGlZ3nU=",0)</f>
        <v>#REF!</v>
      </c>
      <c r="DO75" s="34" t="e">
        <f>IF(#REF!,"AAAAAGlZ3nY=",0)</f>
        <v>#REF!</v>
      </c>
      <c r="DP75" s="34" t="e">
        <f>IF(#REF!,"AAAAAGlZ3nc=",0)</f>
        <v>#REF!</v>
      </c>
      <c r="DQ75" s="34" t="e">
        <f>IF(#REF!,"AAAAAGlZ3ng=",0)</f>
        <v>#REF!</v>
      </c>
      <c r="DR75" s="34" t="e">
        <f>IF(#REF!,"AAAAAGlZ3nk=",0)</f>
        <v>#REF!</v>
      </c>
      <c r="DS75" s="34" t="e">
        <f>IF(#REF!,"AAAAAGlZ3no=",0)</f>
        <v>#REF!</v>
      </c>
      <c r="DT75" s="34" t="e">
        <f>IF(#REF!,"AAAAAGlZ3ns=",0)</f>
        <v>#REF!</v>
      </c>
      <c r="DU75" s="34" t="e">
        <f>IF(#REF!,"AAAAAGlZ3nw=",0)</f>
        <v>#REF!</v>
      </c>
      <c r="DV75" s="34" t="e">
        <f>IF(#REF!,"AAAAAGlZ3n0=",0)</f>
        <v>#REF!</v>
      </c>
      <c r="DW75" s="34" t="e">
        <f>IF(#REF!,"AAAAAGlZ3n4=",0)</f>
        <v>#REF!</v>
      </c>
      <c r="DX75" s="34" t="e">
        <f>IF(#REF!,"AAAAAGlZ3n8=",0)</f>
        <v>#REF!</v>
      </c>
      <c r="DY75" s="34" t="e">
        <f>IF(#REF!,"AAAAAGlZ3oA=",0)</f>
        <v>#REF!</v>
      </c>
      <c r="DZ75" s="34" t="e">
        <f>IF(#REF!,"AAAAAGlZ3oE=",0)</f>
        <v>#REF!</v>
      </c>
      <c r="EA75" s="34" t="e">
        <f>IF(#REF!,"AAAAAGlZ3oI=",0)</f>
        <v>#REF!</v>
      </c>
      <c r="EB75" s="34" t="e">
        <f>IF(#REF!,"AAAAAGlZ3oM=",0)</f>
        <v>#REF!</v>
      </c>
      <c r="EC75" s="34" t="e">
        <f>IF(#REF!,"AAAAAGlZ3oQ=",0)</f>
        <v>#REF!</v>
      </c>
      <c r="ED75" s="34" t="e">
        <f>IF(#REF!,"AAAAAGlZ3oU=",0)</f>
        <v>#REF!</v>
      </c>
      <c r="EE75" s="34" t="e">
        <f>IF(#REF!,"AAAAAGlZ3oY=",0)</f>
        <v>#REF!</v>
      </c>
      <c r="EF75" s="34" t="e">
        <f>IF(#REF!,"AAAAAGlZ3oc=",0)</f>
        <v>#REF!</v>
      </c>
      <c r="EG75" s="34" t="e">
        <f>IF(#REF!,"AAAAAGlZ3og=",0)</f>
        <v>#REF!</v>
      </c>
      <c r="EH75" s="34" t="e">
        <f>IF(#REF!,"AAAAAGlZ3ok=",0)</f>
        <v>#REF!</v>
      </c>
      <c r="EI75" s="34" t="e">
        <f>IF(#REF!,"AAAAAGlZ3oo=",0)</f>
        <v>#REF!</v>
      </c>
      <c r="EJ75" s="34" t="e">
        <f>IF(#REF!,"AAAAAGlZ3os=",0)</f>
        <v>#REF!</v>
      </c>
      <c r="EK75" s="34" t="e">
        <f>IF(#REF!,"AAAAAGlZ3ow=",0)</f>
        <v>#REF!</v>
      </c>
      <c r="EL75" s="34" t="e">
        <f>IF(#REF!,"AAAAAGlZ3o0=",0)</f>
        <v>#REF!</v>
      </c>
      <c r="EM75" s="34" t="e">
        <f>IF(#REF!,"AAAAAGlZ3o4=",0)</f>
        <v>#REF!</v>
      </c>
      <c r="EN75" s="34" t="e">
        <f>IF(#REF!,"AAAAAGlZ3o8=",0)</f>
        <v>#REF!</v>
      </c>
      <c r="EO75" s="34" t="e">
        <f>IF(#REF!,"AAAAAGlZ3pA=",0)</f>
        <v>#REF!</v>
      </c>
      <c r="EP75" s="34" t="e">
        <f>IF(#REF!,"AAAAAGlZ3pE=",0)</f>
        <v>#REF!</v>
      </c>
      <c r="EQ75" s="34" t="e">
        <f>IF(#REF!,"AAAAAGlZ3pI=",0)</f>
        <v>#REF!</v>
      </c>
      <c r="ER75" s="34" t="e">
        <f>IF(#REF!,"AAAAAGlZ3pM=",0)</f>
        <v>#REF!</v>
      </c>
      <c r="ES75" s="34" t="e">
        <f>IF(#REF!,"AAAAAGlZ3pQ=",0)</f>
        <v>#REF!</v>
      </c>
      <c r="ET75" s="34" t="e">
        <f>IF(#REF!,"AAAAAGlZ3pU=",0)</f>
        <v>#REF!</v>
      </c>
      <c r="EU75" s="34" t="e">
        <f>IF(#REF!,"AAAAAGlZ3pY=",0)</f>
        <v>#REF!</v>
      </c>
      <c r="EV75" s="34" t="e">
        <f>IF(#REF!,"AAAAAGlZ3pc=",0)</f>
        <v>#REF!</v>
      </c>
      <c r="EW75" s="34" t="e">
        <f>IF(#REF!,"AAAAAGlZ3pg=",0)</f>
        <v>#REF!</v>
      </c>
      <c r="EX75" s="34" t="e">
        <f>IF(#REF!,"AAAAAGlZ3pk=",0)</f>
        <v>#REF!</v>
      </c>
      <c r="EY75" s="34" t="e">
        <f>IF(#REF!,"AAAAAGlZ3po=",0)</f>
        <v>#REF!</v>
      </c>
      <c r="EZ75" s="34" t="e">
        <f>IF(#REF!,"AAAAAGlZ3ps=",0)</f>
        <v>#REF!</v>
      </c>
      <c r="FA75" s="34" t="e">
        <f>IF(#REF!,"AAAAAGlZ3pw=",0)</f>
        <v>#REF!</v>
      </c>
      <c r="FB75" s="34" t="e">
        <f>IF(#REF!,"AAAAAGlZ3p0=",0)</f>
        <v>#REF!</v>
      </c>
      <c r="FC75" s="34" t="e">
        <f>IF(#REF!,"AAAAAGlZ3p4=",0)</f>
        <v>#REF!</v>
      </c>
      <c r="FD75" s="34" t="e">
        <f>IF(#REF!,"AAAAAGlZ3p8=",0)</f>
        <v>#REF!</v>
      </c>
      <c r="FE75" s="34" t="e">
        <f>IF(#REF!,"AAAAAGlZ3qA=",0)</f>
        <v>#REF!</v>
      </c>
      <c r="FF75" s="34" t="e">
        <f>IF(#REF!,"AAAAAGlZ3qE=",0)</f>
        <v>#REF!</v>
      </c>
      <c r="FG75" s="34" t="e">
        <f>IF(#REF!,"AAAAAGlZ3qI=",0)</f>
        <v>#REF!</v>
      </c>
      <c r="FH75" s="34" t="e">
        <f>IF(#REF!,"AAAAAGlZ3qM=",0)</f>
        <v>#REF!</v>
      </c>
      <c r="FI75" s="34" t="e">
        <f>IF(#REF!,"AAAAAGlZ3qQ=",0)</f>
        <v>#REF!</v>
      </c>
      <c r="FJ75" s="34" t="e">
        <f>IF(#REF!,"AAAAAGlZ3qU=",0)</f>
        <v>#REF!</v>
      </c>
      <c r="FK75" s="34" t="e">
        <f>IF(#REF!,"AAAAAGlZ3qY=",0)</f>
        <v>#REF!</v>
      </c>
      <c r="FL75" s="34" t="e">
        <f>IF(#REF!,"AAAAAGlZ3qc=",0)</f>
        <v>#REF!</v>
      </c>
      <c r="FM75" s="34" t="e">
        <f>IF(#REF!,"AAAAAGlZ3qg=",0)</f>
        <v>#REF!</v>
      </c>
      <c r="FN75" s="34" t="e">
        <f>IF(#REF!,"AAAAAGlZ3qk=",0)</f>
        <v>#REF!</v>
      </c>
      <c r="FO75" s="34" t="e">
        <f>IF(#REF!,"AAAAAGlZ3qo=",0)</f>
        <v>#REF!</v>
      </c>
      <c r="FP75" s="34" t="e">
        <f>IF(#REF!,"AAAAAGlZ3qs=",0)</f>
        <v>#REF!</v>
      </c>
      <c r="FQ75" s="34" t="e">
        <f>IF(#REF!,"AAAAAGlZ3qw=",0)</f>
        <v>#REF!</v>
      </c>
      <c r="FR75" s="34" t="e">
        <f>IF(#REF!,"AAAAAGlZ3q0=",0)</f>
        <v>#REF!</v>
      </c>
      <c r="FS75" s="34" t="e">
        <f>IF(#REF!,"AAAAAGlZ3q4=",0)</f>
        <v>#REF!</v>
      </c>
      <c r="FT75" s="34" t="e">
        <f>IF(#REF!,"AAAAAGlZ3q8=",0)</f>
        <v>#REF!</v>
      </c>
      <c r="FU75" s="34" t="e">
        <f>IF(#REF!,"AAAAAGlZ3rA=",0)</f>
        <v>#REF!</v>
      </c>
      <c r="FV75" s="34" t="e">
        <f>IF(#REF!,"AAAAAGlZ3rE=",0)</f>
        <v>#REF!</v>
      </c>
      <c r="FW75" s="34" t="e">
        <f>IF(#REF!,"AAAAAGlZ3rI=",0)</f>
        <v>#REF!</v>
      </c>
      <c r="FX75" s="34" t="e">
        <f>IF(#REF!,"AAAAAGlZ3rM=",0)</f>
        <v>#REF!</v>
      </c>
      <c r="FY75" s="34" t="e">
        <f>IF(#REF!,"AAAAAGlZ3rQ=",0)</f>
        <v>#REF!</v>
      </c>
      <c r="FZ75" s="34" t="e">
        <f>IF(#REF!,"AAAAAGlZ3rU=",0)</f>
        <v>#REF!</v>
      </c>
      <c r="GA75" s="34" t="e">
        <f>IF(#REF!,"AAAAAGlZ3rY=",0)</f>
        <v>#REF!</v>
      </c>
      <c r="GB75" s="34" t="e">
        <f>IF(#REF!,"AAAAAGlZ3rc=",0)</f>
        <v>#REF!</v>
      </c>
      <c r="GC75" s="34" t="e">
        <f>IF(#REF!,"AAAAAGlZ3rg=",0)</f>
        <v>#REF!</v>
      </c>
      <c r="GD75" s="34" t="e">
        <f>IF(#REF!,"AAAAAGlZ3rk=",0)</f>
        <v>#REF!</v>
      </c>
      <c r="GE75" s="34" t="e">
        <f>IF(#REF!,"AAAAAGlZ3ro=",0)</f>
        <v>#REF!</v>
      </c>
      <c r="GF75" s="34" t="e">
        <f>IF(#REF!,"AAAAAGlZ3rs=",0)</f>
        <v>#REF!</v>
      </c>
      <c r="GG75" s="34" t="e">
        <f>IF(#REF!,"AAAAAGlZ3rw=",0)</f>
        <v>#REF!</v>
      </c>
      <c r="GH75" s="34" t="e">
        <f>IF(#REF!,"AAAAAGlZ3r0=",0)</f>
        <v>#REF!</v>
      </c>
      <c r="GI75" s="34" t="e">
        <f>IF(#REF!,"AAAAAGlZ3r4=",0)</f>
        <v>#REF!</v>
      </c>
      <c r="GJ75" s="34" t="e">
        <f>IF(#REF!,"AAAAAGlZ3r8=",0)</f>
        <v>#REF!</v>
      </c>
      <c r="GK75" s="34" t="e">
        <f>IF(#REF!,"AAAAAGlZ3sA=",0)</f>
        <v>#REF!</v>
      </c>
      <c r="GL75" s="34" t="e">
        <f>IF(#REF!,"AAAAAGlZ3sE=",0)</f>
        <v>#REF!</v>
      </c>
      <c r="GM75" s="34" t="e">
        <f>AND(#REF!,"AAAAAGlZ3sI=")</f>
        <v>#REF!</v>
      </c>
      <c r="GN75" s="34" t="e">
        <f>AND(#REF!,"AAAAAGlZ3sM=")</f>
        <v>#REF!</v>
      </c>
      <c r="GO75" s="34" t="e">
        <f>AND(#REF!,"AAAAAGlZ3sQ=")</f>
        <v>#REF!</v>
      </c>
      <c r="GP75" s="34" t="e">
        <f>AND(#REF!,"AAAAAGlZ3sU=")</f>
        <v>#REF!</v>
      </c>
      <c r="GQ75" s="34" t="e">
        <f>AND(#REF!,"AAAAAGlZ3sY=")</f>
        <v>#REF!</v>
      </c>
      <c r="GR75" s="34" t="e">
        <f>AND(#REF!,"AAAAAGlZ3sc=")</f>
        <v>#REF!</v>
      </c>
      <c r="GS75" s="34" t="e">
        <f>AND(#REF!,"AAAAAGlZ3sg=")</f>
        <v>#REF!</v>
      </c>
      <c r="GT75" s="34" t="e">
        <f>AND(#REF!,"AAAAAGlZ3sk=")</f>
        <v>#REF!</v>
      </c>
      <c r="GU75" s="34" t="e">
        <f>AND(#REF!,"AAAAAGlZ3so=")</f>
        <v>#REF!</v>
      </c>
      <c r="GV75" s="34" t="e">
        <f>AND(#REF!,"AAAAAGlZ3ss=")</f>
        <v>#REF!</v>
      </c>
      <c r="GW75" s="34" t="e">
        <f>AND(#REF!,"AAAAAGlZ3sw=")</f>
        <v>#REF!</v>
      </c>
      <c r="GX75" s="34" t="e">
        <f>AND(#REF!,"AAAAAGlZ3s0=")</f>
        <v>#REF!</v>
      </c>
      <c r="GY75" s="34" t="e">
        <f>AND(#REF!,"AAAAAGlZ3s4=")</f>
        <v>#REF!</v>
      </c>
      <c r="GZ75" s="34" t="e">
        <f>AND(#REF!,"AAAAAGlZ3s8=")</f>
        <v>#REF!</v>
      </c>
      <c r="HA75" s="34" t="e">
        <f>AND(#REF!,"AAAAAGlZ3tA=")</f>
        <v>#REF!</v>
      </c>
      <c r="HB75" s="34" t="e">
        <f>AND(#REF!,"AAAAAGlZ3tE=")</f>
        <v>#REF!</v>
      </c>
      <c r="HC75" s="34" t="e">
        <f>IF(#REF!,"AAAAAGlZ3tI=",0)</f>
        <v>#REF!</v>
      </c>
      <c r="HD75" s="34" t="e">
        <f>AND(#REF!,"AAAAAGlZ3tM=")</f>
        <v>#REF!</v>
      </c>
      <c r="HE75" s="34" t="e">
        <f>AND(#REF!,"AAAAAGlZ3tQ=")</f>
        <v>#REF!</v>
      </c>
      <c r="HF75" s="34" t="e">
        <f>AND(#REF!,"AAAAAGlZ3tU=")</f>
        <v>#REF!</v>
      </c>
      <c r="HG75" s="34" t="e">
        <f>AND(#REF!,"AAAAAGlZ3tY=")</f>
        <v>#REF!</v>
      </c>
      <c r="HH75" s="34" t="e">
        <f>AND(#REF!,"AAAAAGlZ3tc=")</f>
        <v>#REF!</v>
      </c>
      <c r="HI75" s="34" t="e">
        <f>AND(#REF!,"AAAAAGlZ3tg=")</f>
        <v>#REF!</v>
      </c>
      <c r="HJ75" s="34" t="e">
        <f>AND(#REF!,"AAAAAGlZ3tk=")</f>
        <v>#REF!</v>
      </c>
      <c r="HK75" s="34" t="e">
        <f>AND(#REF!,"AAAAAGlZ3to=")</f>
        <v>#REF!</v>
      </c>
      <c r="HL75" s="34" t="e">
        <f>AND(#REF!,"AAAAAGlZ3ts=")</f>
        <v>#REF!</v>
      </c>
      <c r="HM75" s="34" t="e">
        <f>AND(#REF!,"AAAAAGlZ3tw=")</f>
        <v>#REF!</v>
      </c>
      <c r="HN75" s="34" t="e">
        <f>AND(#REF!,"AAAAAGlZ3t0=")</f>
        <v>#REF!</v>
      </c>
      <c r="HO75" s="34" t="e">
        <f>AND(#REF!,"AAAAAGlZ3t4=")</f>
        <v>#REF!</v>
      </c>
      <c r="HP75" s="34" t="e">
        <f>AND(#REF!,"AAAAAGlZ3t8=")</f>
        <v>#REF!</v>
      </c>
      <c r="HQ75" s="34" t="e">
        <f>AND(#REF!,"AAAAAGlZ3uA=")</f>
        <v>#REF!</v>
      </c>
      <c r="HR75" s="34" t="e">
        <f>AND(#REF!,"AAAAAGlZ3uE=")</f>
        <v>#REF!</v>
      </c>
      <c r="HS75" s="34" t="e">
        <f>AND(#REF!,"AAAAAGlZ3uI=")</f>
        <v>#REF!</v>
      </c>
      <c r="HT75" s="34" t="e">
        <f>IF(#REF!,"AAAAAGlZ3uM=",0)</f>
        <v>#REF!</v>
      </c>
      <c r="HU75" s="34" t="e">
        <f>AND(#REF!,"AAAAAGlZ3uQ=")</f>
        <v>#REF!</v>
      </c>
      <c r="HV75" s="34" t="e">
        <f>AND(#REF!,"AAAAAGlZ3uU=")</f>
        <v>#REF!</v>
      </c>
      <c r="HW75" s="34" t="e">
        <f>AND(#REF!,"AAAAAGlZ3uY=")</f>
        <v>#REF!</v>
      </c>
      <c r="HX75" s="34" t="e">
        <f>AND(#REF!,"AAAAAGlZ3uc=")</f>
        <v>#REF!</v>
      </c>
      <c r="HY75" s="34" t="e">
        <f>AND(#REF!,"AAAAAGlZ3ug=")</f>
        <v>#REF!</v>
      </c>
      <c r="HZ75" s="34" t="e">
        <f>AND(#REF!,"AAAAAGlZ3uk=")</f>
        <v>#REF!</v>
      </c>
      <c r="IA75" s="34" t="e">
        <f>AND(#REF!,"AAAAAGlZ3uo=")</f>
        <v>#REF!</v>
      </c>
      <c r="IB75" s="34" t="e">
        <f>AND(#REF!,"AAAAAGlZ3us=")</f>
        <v>#REF!</v>
      </c>
      <c r="IC75" s="34" t="e">
        <f>AND(#REF!,"AAAAAGlZ3uw=")</f>
        <v>#REF!</v>
      </c>
      <c r="ID75" s="34" t="e">
        <f>AND(#REF!,"AAAAAGlZ3u0=")</f>
        <v>#REF!</v>
      </c>
      <c r="IE75" s="34" t="e">
        <f>AND(#REF!,"AAAAAGlZ3u4=")</f>
        <v>#REF!</v>
      </c>
      <c r="IF75" s="34" t="e">
        <f>AND(#REF!,"AAAAAGlZ3u8=")</f>
        <v>#REF!</v>
      </c>
      <c r="IG75" s="34" t="e">
        <f>AND(#REF!,"AAAAAGlZ3vA=")</f>
        <v>#REF!</v>
      </c>
      <c r="IH75" s="34" t="e">
        <f>AND(#REF!,"AAAAAGlZ3vE=")</f>
        <v>#REF!</v>
      </c>
      <c r="II75" s="34" t="e">
        <f>AND(#REF!,"AAAAAGlZ3vI=")</f>
        <v>#REF!</v>
      </c>
      <c r="IJ75" s="34" t="e">
        <f>AND(#REF!,"AAAAAGlZ3vM=")</f>
        <v>#REF!</v>
      </c>
      <c r="IK75" s="34" t="e">
        <f>IF(#REF!,"AAAAAGlZ3vQ=",0)</f>
        <v>#REF!</v>
      </c>
      <c r="IL75" s="34" t="e">
        <f>AND(#REF!,"AAAAAGlZ3vU=")</f>
        <v>#REF!</v>
      </c>
      <c r="IM75" s="34" t="e">
        <f>AND(#REF!,"AAAAAGlZ3vY=")</f>
        <v>#REF!</v>
      </c>
      <c r="IN75" s="34" t="e">
        <f>AND(#REF!,"AAAAAGlZ3vc=")</f>
        <v>#REF!</v>
      </c>
      <c r="IO75" s="34" t="e">
        <f>AND(#REF!,"AAAAAGlZ3vg=")</f>
        <v>#REF!</v>
      </c>
      <c r="IP75" s="34" t="e">
        <f>AND(#REF!,"AAAAAGlZ3vk=")</f>
        <v>#REF!</v>
      </c>
      <c r="IQ75" s="34" t="e">
        <f>AND(#REF!,"AAAAAGlZ3vo=")</f>
        <v>#REF!</v>
      </c>
      <c r="IR75" s="34" t="e">
        <f>AND(#REF!,"AAAAAGlZ3vs=")</f>
        <v>#REF!</v>
      </c>
      <c r="IS75" s="34" t="e">
        <f>AND(#REF!,"AAAAAGlZ3vw=")</f>
        <v>#REF!</v>
      </c>
      <c r="IT75" s="34" t="e">
        <f>AND(#REF!,"AAAAAGlZ3v0=")</f>
        <v>#REF!</v>
      </c>
      <c r="IU75" s="34" t="e">
        <f>AND(#REF!,"AAAAAGlZ3v4=")</f>
        <v>#REF!</v>
      </c>
      <c r="IV75" s="34" t="e">
        <f>AND(#REF!,"AAAAAGlZ3v8=")</f>
        <v>#REF!</v>
      </c>
    </row>
    <row r="76" spans="1:256" ht="12.75" customHeight="1" x14ac:dyDescent="0.2">
      <c r="A76" s="34" t="e">
        <f>AND(#REF!,"AAAAAH//XQA=")</f>
        <v>#REF!</v>
      </c>
      <c r="B76" s="34" t="e">
        <f>AND(#REF!,"AAAAAH//XQE=")</f>
        <v>#REF!</v>
      </c>
      <c r="C76" s="34" t="e">
        <f>AND(#REF!,"AAAAAH//XQI=")</f>
        <v>#REF!</v>
      </c>
      <c r="D76" s="34" t="e">
        <f>AND(#REF!,"AAAAAH//XQM=")</f>
        <v>#REF!</v>
      </c>
      <c r="E76" s="34" t="e">
        <f>AND(#REF!,"AAAAAH//XQQ=")</f>
        <v>#REF!</v>
      </c>
      <c r="F76" s="34" t="e">
        <f>IF(#REF!,"AAAAAH//XQU=",0)</f>
        <v>#REF!</v>
      </c>
      <c r="G76" s="34" t="e">
        <f>AND(#REF!,"AAAAAH//XQY=")</f>
        <v>#REF!</v>
      </c>
      <c r="H76" s="34" t="e">
        <f>AND(#REF!,"AAAAAH//XQc=")</f>
        <v>#REF!</v>
      </c>
      <c r="I76" s="34" t="e">
        <f>AND(#REF!,"AAAAAH//XQg=")</f>
        <v>#REF!</v>
      </c>
      <c r="J76" s="34" t="e">
        <f>AND(#REF!,"AAAAAH//XQk=")</f>
        <v>#REF!</v>
      </c>
      <c r="K76" s="34" t="e">
        <f>AND(#REF!,"AAAAAH//XQo=")</f>
        <v>#REF!</v>
      </c>
      <c r="L76" s="34" t="e">
        <f>AND(#REF!,"AAAAAH//XQs=")</f>
        <v>#REF!</v>
      </c>
      <c r="M76" s="34" t="e">
        <f>AND(#REF!,"AAAAAH//XQw=")</f>
        <v>#REF!</v>
      </c>
      <c r="N76" s="34" t="e">
        <f>AND(#REF!,"AAAAAH//XQ0=")</f>
        <v>#REF!</v>
      </c>
      <c r="O76" s="34" t="e">
        <f>AND(#REF!,"AAAAAH//XQ4=")</f>
        <v>#REF!</v>
      </c>
      <c r="P76" s="34" t="e">
        <f>AND(#REF!,"AAAAAH//XQ8=")</f>
        <v>#REF!</v>
      </c>
      <c r="Q76" s="34" t="e">
        <f>AND(#REF!,"AAAAAH//XRA=")</f>
        <v>#REF!</v>
      </c>
      <c r="R76" s="34" t="e">
        <f>AND(#REF!,"AAAAAH//XRE=")</f>
        <v>#REF!</v>
      </c>
      <c r="S76" s="34" t="e">
        <f>AND(#REF!,"AAAAAH//XRI=")</f>
        <v>#REF!</v>
      </c>
      <c r="T76" s="34" t="e">
        <f>AND(#REF!,"AAAAAH//XRM=")</f>
        <v>#REF!</v>
      </c>
      <c r="U76" s="34" t="e">
        <f>AND(#REF!,"AAAAAH//XRQ=")</f>
        <v>#REF!</v>
      </c>
      <c r="V76" s="34" t="e">
        <f>AND(#REF!,"AAAAAH//XRU=")</f>
        <v>#REF!</v>
      </c>
      <c r="W76" s="34" t="e">
        <f>IF(#REF!,"AAAAAH//XRY=",0)</f>
        <v>#REF!</v>
      </c>
      <c r="X76" s="34" t="e">
        <f>AND(#REF!,"AAAAAH//XRc=")</f>
        <v>#REF!</v>
      </c>
      <c r="Y76" s="34" t="e">
        <f>AND(#REF!,"AAAAAH//XRg=")</f>
        <v>#REF!</v>
      </c>
      <c r="Z76" s="34" t="e">
        <f>AND(#REF!,"AAAAAH//XRk=")</f>
        <v>#REF!</v>
      </c>
      <c r="AA76" s="34" t="e">
        <f>AND(#REF!,"AAAAAH//XRo=")</f>
        <v>#REF!</v>
      </c>
      <c r="AB76" s="34" t="e">
        <f>AND(#REF!,"AAAAAH//XRs=")</f>
        <v>#REF!</v>
      </c>
      <c r="AC76" s="34" t="e">
        <f>AND(#REF!,"AAAAAH//XRw=")</f>
        <v>#REF!</v>
      </c>
      <c r="AD76" s="34" t="e">
        <f>AND(#REF!,"AAAAAH//XR0=")</f>
        <v>#REF!</v>
      </c>
      <c r="AE76" s="34" t="e">
        <f>AND(#REF!,"AAAAAH//XR4=")</f>
        <v>#REF!</v>
      </c>
      <c r="AF76" s="34" t="e">
        <f>AND(#REF!,"AAAAAH//XR8=")</f>
        <v>#REF!</v>
      </c>
      <c r="AG76" s="34" t="e">
        <f>AND(#REF!,"AAAAAH//XSA=")</f>
        <v>#REF!</v>
      </c>
      <c r="AH76" s="34" t="e">
        <f>AND(#REF!,"AAAAAH//XSE=")</f>
        <v>#REF!</v>
      </c>
      <c r="AI76" s="34" t="e">
        <f>AND(#REF!,"AAAAAH//XSI=")</f>
        <v>#REF!</v>
      </c>
      <c r="AJ76" s="34" t="e">
        <f>AND(#REF!,"AAAAAH//XSM=")</f>
        <v>#REF!</v>
      </c>
      <c r="AK76" s="34" t="e">
        <f>AND(#REF!,"AAAAAH//XSQ=")</f>
        <v>#REF!</v>
      </c>
      <c r="AL76" s="34" t="e">
        <f>AND(#REF!,"AAAAAH//XSU=")</f>
        <v>#REF!</v>
      </c>
      <c r="AM76" s="34" t="e">
        <f>AND(#REF!,"AAAAAH//XSY=")</f>
        <v>#REF!</v>
      </c>
      <c r="AN76" s="34" t="e">
        <f>IF(#REF!,"AAAAAH//XSc=",0)</f>
        <v>#REF!</v>
      </c>
      <c r="AO76" s="34" t="e">
        <f>AND(#REF!,"AAAAAH//XSg=")</f>
        <v>#REF!</v>
      </c>
      <c r="AP76" s="34" t="e">
        <f>AND(#REF!,"AAAAAH//XSk=")</f>
        <v>#REF!</v>
      </c>
      <c r="AQ76" s="34" t="e">
        <f>AND(#REF!,"AAAAAH//XSo=")</f>
        <v>#REF!</v>
      </c>
      <c r="AR76" s="34" t="e">
        <f>AND(#REF!,"AAAAAH//XSs=")</f>
        <v>#REF!</v>
      </c>
      <c r="AS76" s="34" t="e">
        <f>AND(#REF!,"AAAAAH//XSw=")</f>
        <v>#REF!</v>
      </c>
      <c r="AT76" s="34" t="e">
        <f>AND(#REF!,"AAAAAH//XS0=")</f>
        <v>#REF!</v>
      </c>
      <c r="AU76" s="34" t="e">
        <f>AND(#REF!,"AAAAAH//XS4=")</f>
        <v>#REF!</v>
      </c>
      <c r="AV76" s="34" t="e">
        <f>AND(#REF!,"AAAAAH//XS8=")</f>
        <v>#REF!</v>
      </c>
      <c r="AW76" s="34" t="e">
        <f>AND(#REF!,"AAAAAH//XTA=")</f>
        <v>#REF!</v>
      </c>
      <c r="AX76" s="34" t="e">
        <f>AND(#REF!,"AAAAAH//XTE=")</f>
        <v>#REF!</v>
      </c>
      <c r="AY76" s="34" t="e">
        <f>AND(#REF!,"AAAAAH//XTI=")</f>
        <v>#REF!</v>
      </c>
      <c r="AZ76" s="34" t="e">
        <f>AND(#REF!,"AAAAAH//XTM=")</f>
        <v>#REF!</v>
      </c>
      <c r="BA76" s="34" t="e">
        <f>AND(#REF!,"AAAAAH//XTQ=")</f>
        <v>#REF!</v>
      </c>
      <c r="BB76" s="34" t="e">
        <f>AND(#REF!,"AAAAAH//XTU=")</f>
        <v>#REF!</v>
      </c>
      <c r="BC76" s="34" t="e">
        <f>AND(#REF!,"AAAAAH//XTY=")</f>
        <v>#REF!</v>
      </c>
      <c r="BD76" s="34" t="e">
        <f>AND(#REF!,"AAAAAH//XTc=")</f>
        <v>#REF!</v>
      </c>
      <c r="BE76" s="34" t="e">
        <f>IF(#REF!,"AAAAAH//XTg=",0)</f>
        <v>#REF!</v>
      </c>
      <c r="BF76" s="34" t="e">
        <f>AND(#REF!,"AAAAAH//XTk=")</f>
        <v>#REF!</v>
      </c>
      <c r="BG76" s="34" t="e">
        <f>AND(#REF!,"AAAAAH//XTo=")</f>
        <v>#REF!</v>
      </c>
      <c r="BH76" s="34" t="e">
        <f>AND(#REF!,"AAAAAH//XTs=")</f>
        <v>#REF!</v>
      </c>
      <c r="BI76" s="34" t="e">
        <f>AND(#REF!,"AAAAAH//XTw=")</f>
        <v>#REF!</v>
      </c>
      <c r="BJ76" s="34" t="e">
        <f>AND(#REF!,"AAAAAH//XT0=")</f>
        <v>#REF!</v>
      </c>
      <c r="BK76" s="34" t="e">
        <f>AND(#REF!,"AAAAAH//XT4=")</f>
        <v>#REF!</v>
      </c>
      <c r="BL76" s="34" t="e">
        <f>AND(#REF!,"AAAAAH//XT8=")</f>
        <v>#REF!</v>
      </c>
      <c r="BM76" s="34" t="e">
        <f>AND(#REF!,"AAAAAH//XUA=")</f>
        <v>#REF!</v>
      </c>
      <c r="BN76" s="34" t="e">
        <f>AND(#REF!,"AAAAAH//XUE=")</f>
        <v>#REF!</v>
      </c>
      <c r="BO76" s="34" t="e">
        <f>AND(#REF!,"AAAAAH//XUI=")</f>
        <v>#REF!</v>
      </c>
      <c r="BP76" s="34" t="e">
        <f>AND(#REF!,"AAAAAH//XUM=")</f>
        <v>#REF!</v>
      </c>
      <c r="BQ76" s="34" t="e">
        <f>AND(#REF!,"AAAAAH//XUQ=")</f>
        <v>#REF!</v>
      </c>
      <c r="BR76" s="34" t="e">
        <f>AND(#REF!,"AAAAAH//XUU=")</f>
        <v>#REF!</v>
      </c>
      <c r="BS76" s="34" t="e">
        <f>AND(#REF!,"AAAAAH//XUY=")</f>
        <v>#REF!</v>
      </c>
      <c r="BT76" s="34" t="e">
        <f>AND(#REF!,"AAAAAH//XUc=")</f>
        <v>#REF!</v>
      </c>
      <c r="BU76" s="34" t="e">
        <f>AND(#REF!,"AAAAAH//XUg=")</f>
        <v>#REF!</v>
      </c>
      <c r="BV76" s="34" t="e">
        <f>IF(#REF!,"AAAAAH//XUk=",0)</f>
        <v>#REF!</v>
      </c>
      <c r="BW76" s="34" t="e">
        <f>AND(#REF!,"AAAAAH//XUo=")</f>
        <v>#REF!</v>
      </c>
      <c r="BX76" s="34" t="e">
        <f>AND(#REF!,"AAAAAH//XUs=")</f>
        <v>#REF!</v>
      </c>
      <c r="BY76" s="34" t="e">
        <f>AND(#REF!,"AAAAAH//XUw=")</f>
        <v>#REF!</v>
      </c>
      <c r="BZ76" s="34" t="e">
        <f>AND(#REF!,"AAAAAH//XU0=")</f>
        <v>#REF!</v>
      </c>
      <c r="CA76" s="34" t="e">
        <f>AND(#REF!,"AAAAAH//XU4=")</f>
        <v>#REF!</v>
      </c>
      <c r="CB76" s="34" t="e">
        <f>AND(#REF!,"AAAAAH//XU8=")</f>
        <v>#REF!</v>
      </c>
      <c r="CC76" s="34" t="e">
        <f>AND(#REF!,"AAAAAH//XVA=")</f>
        <v>#REF!</v>
      </c>
      <c r="CD76" s="34" t="e">
        <f>AND(#REF!,"AAAAAH//XVE=")</f>
        <v>#REF!</v>
      </c>
      <c r="CE76" s="34" t="e">
        <f>AND(#REF!,"AAAAAH//XVI=")</f>
        <v>#REF!</v>
      </c>
      <c r="CF76" s="34" t="e">
        <f>AND(#REF!,"AAAAAH//XVM=")</f>
        <v>#REF!</v>
      </c>
      <c r="CG76" s="34" t="e">
        <f>AND(#REF!,"AAAAAH//XVQ=")</f>
        <v>#REF!</v>
      </c>
      <c r="CH76" s="34" t="e">
        <f>AND(#REF!,"AAAAAH//XVU=")</f>
        <v>#REF!</v>
      </c>
      <c r="CI76" s="34" t="e">
        <f>AND(#REF!,"AAAAAH//XVY=")</f>
        <v>#REF!</v>
      </c>
      <c r="CJ76" s="34" t="e">
        <f>AND(#REF!,"AAAAAH//XVc=")</f>
        <v>#REF!</v>
      </c>
      <c r="CK76" s="34" t="e">
        <f>AND(#REF!,"AAAAAH//XVg=")</f>
        <v>#REF!</v>
      </c>
      <c r="CL76" s="34" t="e">
        <f>AND(#REF!,"AAAAAH//XVk=")</f>
        <v>#REF!</v>
      </c>
      <c r="CM76" s="34" t="e">
        <f>IF(#REF!,"AAAAAH//XVo=",0)</f>
        <v>#REF!</v>
      </c>
      <c r="CN76" s="34" t="e">
        <f>AND(#REF!,"AAAAAH//XVs=")</f>
        <v>#REF!</v>
      </c>
      <c r="CO76" s="34" t="e">
        <f>AND(#REF!,"AAAAAH//XVw=")</f>
        <v>#REF!</v>
      </c>
      <c r="CP76" s="34" t="e">
        <f>AND(#REF!,"AAAAAH//XV0=")</f>
        <v>#REF!</v>
      </c>
      <c r="CQ76" s="34" t="e">
        <f>AND(#REF!,"AAAAAH//XV4=")</f>
        <v>#REF!</v>
      </c>
      <c r="CR76" s="34" t="e">
        <f>AND(#REF!,"AAAAAH//XV8=")</f>
        <v>#REF!</v>
      </c>
      <c r="CS76" s="34" t="e">
        <f>AND(#REF!,"AAAAAH//XWA=")</f>
        <v>#REF!</v>
      </c>
      <c r="CT76" s="34" t="e">
        <f>AND(#REF!,"AAAAAH//XWE=")</f>
        <v>#REF!</v>
      </c>
      <c r="CU76" s="34" t="e">
        <f>AND(#REF!,"AAAAAH//XWI=")</f>
        <v>#REF!</v>
      </c>
      <c r="CV76" s="34" t="e">
        <f>AND(#REF!,"AAAAAH//XWM=")</f>
        <v>#REF!</v>
      </c>
      <c r="CW76" s="34" t="e">
        <f>AND(#REF!,"AAAAAH//XWQ=")</f>
        <v>#REF!</v>
      </c>
      <c r="CX76" s="34" t="e">
        <f>AND(#REF!,"AAAAAH//XWU=")</f>
        <v>#REF!</v>
      </c>
      <c r="CY76" s="34" t="e">
        <f>AND(#REF!,"AAAAAH//XWY=")</f>
        <v>#REF!</v>
      </c>
      <c r="CZ76" s="34" t="e">
        <f>AND(#REF!,"AAAAAH//XWc=")</f>
        <v>#REF!</v>
      </c>
      <c r="DA76" s="34" t="e">
        <f>AND(#REF!,"AAAAAH//XWg=")</f>
        <v>#REF!</v>
      </c>
      <c r="DB76" s="34" t="e">
        <f>AND(#REF!,"AAAAAH//XWk=")</f>
        <v>#REF!</v>
      </c>
      <c r="DC76" s="34" t="e">
        <f>AND(#REF!,"AAAAAH//XWo=")</f>
        <v>#REF!</v>
      </c>
      <c r="DD76" s="34" t="e">
        <f>IF(#REF!,"AAAAAH//XWs=",0)</f>
        <v>#REF!</v>
      </c>
      <c r="DE76" s="34" t="e">
        <f>AND(#REF!,"AAAAAH//XWw=")</f>
        <v>#REF!</v>
      </c>
      <c r="DF76" s="34" t="e">
        <f>AND(#REF!,"AAAAAH//XW0=")</f>
        <v>#REF!</v>
      </c>
      <c r="DG76" s="34" t="e">
        <f>AND(#REF!,"AAAAAH//XW4=")</f>
        <v>#REF!</v>
      </c>
      <c r="DH76" s="34" t="e">
        <f>AND(#REF!,"AAAAAH//XW8=")</f>
        <v>#REF!</v>
      </c>
      <c r="DI76" s="34" t="e">
        <f>AND(#REF!,"AAAAAH//XXA=")</f>
        <v>#REF!</v>
      </c>
      <c r="DJ76" s="34" t="e">
        <f>AND(#REF!,"AAAAAH//XXE=")</f>
        <v>#REF!</v>
      </c>
      <c r="DK76" s="34" t="e">
        <f>AND(#REF!,"AAAAAH//XXI=")</f>
        <v>#REF!</v>
      </c>
      <c r="DL76" s="34" t="e">
        <f>AND(#REF!,"AAAAAH//XXM=")</f>
        <v>#REF!</v>
      </c>
      <c r="DM76" s="34" t="e">
        <f>AND(#REF!,"AAAAAH//XXQ=")</f>
        <v>#REF!</v>
      </c>
      <c r="DN76" s="34" t="e">
        <f>AND(#REF!,"AAAAAH//XXU=")</f>
        <v>#REF!</v>
      </c>
      <c r="DO76" s="34" t="e">
        <f>AND(#REF!,"AAAAAH//XXY=")</f>
        <v>#REF!</v>
      </c>
      <c r="DP76" s="34" t="e">
        <f>AND(#REF!,"AAAAAH//XXc=")</f>
        <v>#REF!</v>
      </c>
      <c r="DQ76" s="34" t="e">
        <f>AND(#REF!,"AAAAAH//XXg=")</f>
        <v>#REF!</v>
      </c>
      <c r="DR76" s="34" t="e">
        <f>AND(#REF!,"AAAAAH//XXk=")</f>
        <v>#REF!</v>
      </c>
      <c r="DS76" s="34" t="e">
        <f>AND(#REF!,"AAAAAH//XXo=")</f>
        <v>#REF!</v>
      </c>
      <c r="DT76" s="34" t="e">
        <f>AND(#REF!,"AAAAAH//XXs=")</f>
        <v>#REF!</v>
      </c>
      <c r="DU76" s="34" t="e">
        <f>IF(#REF!,"AAAAAH//XXw=",0)</f>
        <v>#REF!</v>
      </c>
      <c r="DV76" s="34" t="e">
        <f>AND(#REF!,"AAAAAH//XX0=")</f>
        <v>#REF!</v>
      </c>
      <c r="DW76" s="34" t="e">
        <f>AND(#REF!,"AAAAAH//XX4=")</f>
        <v>#REF!</v>
      </c>
      <c r="DX76" s="34" t="e">
        <f>AND(#REF!,"AAAAAH//XX8=")</f>
        <v>#REF!</v>
      </c>
      <c r="DY76" s="34" t="e">
        <f>AND(#REF!,"AAAAAH//XYA=")</f>
        <v>#REF!</v>
      </c>
      <c r="DZ76" s="34" t="e">
        <f>AND(#REF!,"AAAAAH//XYE=")</f>
        <v>#REF!</v>
      </c>
      <c r="EA76" s="34" t="e">
        <f>AND(#REF!,"AAAAAH//XYI=")</f>
        <v>#REF!</v>
      </c>
      <c r="EB76" s="34" t="e">
        <f>AND(#REF!,"AAAAAH//XYM=")</f>
        <v>#REF!</v>
      </c>
      <c r="EC76" s="34" t="e">
        <f>AND(#REF!,"AAAAAH//XYQ=")</f>
        <v>#REF!</v>
      </c>
      <c r="ED76" s="34" t="e">
        <f>AND(#REF!,"AAAAAH//XYU=")</f>
        <v>#REF!</v>
      </c>
      <c r="EE76" s="34" t="e">
        <f>AND(#REF!,"AAAAAH//XYY=")</f>
        <v>#REF!</v>
      </c>
      <c r="EF76" s="34" t="e">
        <f>AND(#REF!,"AAAAAH//XYc=")</f>
        <v>#REF!</v>
      </c>
      <c r="EG76" s="34" t="e">
        <f>AND(#REF!,"AAAAAH//XYg=")</f>
        <v>#REF!</v>
      </c>
      <c r="EH76" s="34" t="e">
        <f>AND(#REF!,"AAAAAH//XYk=")</f>
        <v>#REF!</v>
      </c>
      <c r="EI76" s="34" t="e">
        <f>AND(#REF!,"AAAAAH//XYo=")</f>
        <v>#REF!</v>
      </c>
      <c r="EJ76" s="34" t="e">
        <f>AND(#REF!,"AAAAAH//XYs=")</f>
        <v>#REF!</v>
      </c>
      <c r="EK76" s="34" t="e">
        <f>AND(#REF!,"AAAAAH//XYw=")</f>
        <v>#REF!</v>
      </c>
      <c r="EL76" s="34" t="e">
        <f>IF(#REF!,"AAAAAH//XY0=",0)</f>
        <v>#REF!</v>
      </c>
      <c r="EM76" s="34" t="e">
        <f>AND(#REF!,"AAAAAH//XY4=")</f>
        <v>#REF!</v>
      </c>
      <c r="EN76" s="34" t="e">
        <f>AND(#REF!,"AAAAAH//XY8=")</f>
        <v>#REF!</v>
      </c>
      <c r="EO76" s="34" t="e">
        <f>AND(#REF!,"AAAAAH//XZA=")</f>
        <v>#REF!</v>
      </c>
      <c r="EP76" s="34" t="e">
        <f>AND(#REF!,"AAAAAH//XZE=")</f>
        <v>#REF!</v>
      </c>
      <c r="EQ76" s="34" t="e">
        <f>AND(#REF!,"AAAAAH//XZI=")</f>
        <v>#REF!</v>
      </c>
      <c r="ER76" s="34" t="e">
        <f>AND(#REF!,"AAAAAH//XZM=")</f>
        <v>#REF!</v>
      </c>
      <c r="ES76" s="34" t="e">
        <f>AND(#REF!,"AAAAAH//XZQ=")</f>
        <v>#REF!</v>
      </c>
      <c r="ET76" s="34" t="e">
        <f>AND(#REF!,"AAAAAH//XZU=")</f>
        <v>#REF!</v>
      </c>
      <c r="EU76" s="34" t="e">
        <f>AND(#REF!,"AAAAAH//XZY=")</f>
        <v>#REF!</v>
      </c>
      <c r="EV76" s="34" t="e">
        <f>AND(#REF!,"AAAAAH//XZc=")</f>
        <v>#REF!</v>
      </c>
      <c r="EW76" s="34" t="e">
        <f>AND(#REF!,"AAAAAH//XZg=")</f>
        <v>#REF!</v>
      </c>
      <c r="EX76" s="34" t="e">
        <f>AND(#REF!,"AAAAAH//XZk=")</f>
        <v>#REF!</v>
      </c>
      <c r="EY76" s="34" t="e">
        <f>AND(#REF!,"AAAAAH//XZo=")</f>
        <v>#REF!</v>
      </c>
      <c r="EZ76" s="34" t="e">
        <f>AND(#REF!,"AAAAAH//XZs=")</f>
        <v>#REF!</v>
      </c>
      <c r="FA76" s="34" t="e">
        <f>AND(#REF!,"AAAAAH//XZw=")</f>
        <v>#REF!</v>
      </c>
      <c r="FB76" s="34" t="e">
        <f>AND(#REF!,"AAAAAH//XZ0=")</f>
        <v>#REF!</v>
      </c>
      <c r="FC76" s="34" t="e">
        <f>IF(#REF!,"AAAAAH//XZ4=",0)</f>
        <v>#REF!</v>
      </c>
      <c r="FD76" s="34" t="e">
        <f>AND(#REF!,"AAAAAH//XZ8=")</f>
        <v>#REF!</v>
      </c>
      <c r="FE76" s="34" t="e">
        <f>AND(#REF!,"AAAAAH//XaA=")</f>
        <v>#REF!</v>
      </c>
      <c r="FF76" s="34" t="e">
        <f>AND(#REF!,"AAAAAH//XaE=")</f>
        <v>#REF!</v>
      </c>
      <c r="FG76" s="34" t="e">
        <f>AND(#REF!,"AAAAAH//XaI=")</f>
        <v>#REF!</v>
      </c>
      <c r="FH76" s="34" t="e">
        <f>AND(#REF!,"AAAAAH//XaM=")</f>
        <v>#REF!</v>
      </c>
      <c r="FI76" s="34" t="e">
        <f>AND(#REF!,"AAAAAH//XaQ=")</f>
        <v>#REF!</v>
      </c>
      <c r="FJ76" s="34" t="e">
        <f>AND(#REF!,"AAAAAH//XaU=")</f>
        <v>#REF!</v>
      </c>
      <c r="FK76" s="34" t="e">
        <f>AND(#REF!,"AAAAAH//XaY=")</f>
        <v>#REF!</v>
      </c>
      <c r="FL76" s="34" t="e">
        <f>AND(#REF!,"AAAAAH//Xac=")</f>
        <v>#REF!</v>
      </c>
      <c r="FM76" s="34" t="e">
        <f>AND(#REF!,"AAAAAH//Xag=")</f>
        <v>#REF!</v>
      </c>
      <c r="FN76" s="34" t="e">
        <f>AND(#REF!,"AAAAAH//Xak=")</f>
        <v>#REF!</v>
      </c>
      <c r="FO76" s="34" t="e">
        <f>AND(#REF!,"AAAAAH//Xao=")</f>
        <v>#REF!</v>
      </c>
      <c r="FP76" s="34" t="e">
        <f>AND(#REF!,"AAAAAH//Xas=")</f>
        <v>#REF!</v>
      </c>
      <c r="FQ76" s="34" t="e">
        <f>AND(#REF!,"AAAAAH//Xaw=")</f>
        <v>#REF!</v>
      </c>
      <c r="FR76" s="34" t="e">
        <f>AND(#REF!,"AAAAAH//Xa0=")</f>
        <v>#REF!</v>
      </c>
      <c r="FS76" s="34" t="e">
        <f>AND(#REF!,"AAAAAH//Xa4=")</f>
        <v>#REF!</v>
      </c>
      <c r="FT76" s="34" t="e">
        <f>IF(#REF!,"AAAAAH//Xa8=",0)</f>
        <v>#REF!</v>
      </c>
      <c r="FU76" s="34" t="e">
        <f>AND(#REF!,"AAAAAH//XbA=")</f>
        <v>#REF!</v>
      </c>
      <c r="FV76" s="34" t="e">
        <f>AND(#REF!,"AAAAAH//XbE=")</f>
        <v>#REF!</v>
      </c>
      <c r="FW76" s="34" t="e">
        <f>AND(#REF!,"AAAAAH//XbI=")</f>
        <v>#REF!</v>
      </c>
      <c r="FX76" s="34" t="e">
        <f>AND(#REF!,"AAAAAH//XbM=")</f>
        <v>#REF!</v>
      </c>
      <c r="FY76" s="34" t="e">
        <f>AND(#REF!,"AAAAAH//XbQ=")</f>
        <v>#REF!</v>
      </c>
      <c r="FZ76" s="34" t="e">
        <f>AND(#REF!,"AAAAAH//XbU=")</f>
        <v>#REF!</v>
      </c>
      <c r="GA76" s="34" t="e">
        <f>AND(#REF!,"AAAAAH//XbY=")</f>
        <v>#REF!</v>
      </c>
      <c r="GB76" s="34" t="e">
        <f>AND(#REF!,"AAAAAH//Xbc=")</f>
        <v>#REF!</v>
      </c>
      <c r="GC76" s="34" t="e">
        <f>AND(#REF!,"AAAAAH//Xbg=")</f>
        <v>#REF!</v>
      </c>
      <c r="GD76" s="34" t="e">
        <f>AND(#REF!,"AAAAAH//Xbk=")</f>
        <v>#REF!</v>
      </c>
      <c r="GE76" s="34" t="e">
        <f>AND(#REF!,"AAAAAH//Xbo=")</f>
        <v>#REF!</v>
      </c>
      <c r="GF76" s="34" t="e">
        <f>AND(#REF!,"AAAAAH//Xbs=")</f>
        <v>#REF!</v>
      </c>
      <c r="GG76" s="34" t="e">
        <f>AND(#REF!,"AAAAAH//Xbw=")</f>
        <v>#REF!</v>
      </c>
      <c r="GH76" s="34" t="e">
        <f>AND(#REF!,"AAAAAH//Xb0=")</f>
        <v>#REF!</v>
      </c>
      <c r="GI76" s="34" t="e">
        <f>AND(#REF!,"AAAAAH//Xb4=")</f>
        <v>#REF!</v>
      </c>
      <c r="GJ76" s="34" t="e">
        <f>AND(#REF!,"AAAAAH//Xb8=")</f>
        <v>#REF!</v>
      </c>
      <c r="GK76" s="34" t="e">
        <f>IF(#REF!,"AAAAAH//XcA=",0)</f>
        <v>#REF!</v>
      </c>
      <c r="GL76" s="34" t="e">
        <f>AND(#REF!,"AAAAAH//XcE=")</f>
        <v>#REF!</v>
      </c>
      <c r="GM76" s="34" t="e">
        <f>AND(#REF!,"AAAAAH//XcI=")</f>
        <v>#REF!</v>
      </c>
      <c r="GN76" s="34" t="e">
        <f>AND(#REF!,"AAAAAH//XcM=")</f>
        <v>#REF!</v>
      </c>
      <c r="GO76" s="34" t="e">
        <f>AND(#REF!,"AAAAAH//XcQ=")</f>
        <v>#REF!</v>
      </c>
      <c r="GP76" s="34" t="e">
        <f>AND(#REF!,"AAAAAH//XcU=")</f>
        <v>#REF!</v>
      </c>
      <c r="GQ76" s="34" t="e">
        <f>AND(#REF!,"AAAAAH//XcY=")</f>
        <v>#REF!</v>
      </c>
      <c r="GR76" s="34" t="e">
        <f>AND(#REF!,"AAAAAH//Xcc=")</f>
        <v>#REF!</v>
      </c>
      <c r="GS76" s="34" t="e">
        <f>AND(#REF!,"AAAAAH//Xcg=")</f>
        <v>#REF!</v>
      </c>
      <c r="GT76" s="34" t="e">
        <f>AND(#REF!,"AAAAAH//Xck=")</f>
        <v>#REF!</v>
      </c>
      <c r="GU76" s="34" t="e">
        <f>AND(#REF!,"AAAAAH//Xco=")</f>
        <v>#REF!</v>
      </c>
      <c r="GV76" s="34" t="e">
        <f>AND(#REF!,"AAAAAH//Xcs=")</f>
        <v>#REF!</v>
      </c>
      <c r="GW76" s="34" t="e">
        <f>AND(#REF!,"AAAAAH//Xcw=")</f>
        <v>#REF!</v>
      </c>
      <c r="GX76" s="34" t="e">
        <f>AND(#REF!,"AAAAAH//Xc0=")</f>
        <v>#REF!</v>
      </c>
      <c r="GY76" s="34" t="e">
        <f>AND(#REF!,"AAAAAH//Xc4=")</f>
        <v>#REF!</v>
      </c>
      <c r="GZ76" s="34" t="e">
        <f>AND(#REF!,"AAAAAH//Xc8=")</f>
        <v>#REF!</v>
      </c>
      <c r="HA76" s="34" t="e">
        <f>AND(#REF!,"AAAAAH//XdA=")</f>
        <v>#REF!</v>
      </c>
      <c r="HB76" s="34" t="e">
        <f>IF(#REF!,"AAAAAH//XdE=",0)</f>
        <v>#REF!</v>
      </c>
      <c r="HC76" s="34" t="e">
        <f>AND(#REF!,"AAAAAH//XdI=")</f>
        <v>#REF!</v>
      </c>
      <c r="HD76" s="34" t="e">
        <f>AND(#REF!,"AAAAAH//XdM=")</f>
        <v>#REF!</v>
      </c>
      <c r="HE76" s="34" t="e">
        <f>AND(#REF!,"AAAAAH//XdQ=")</f>
        <v>#REF!</v>
      </c>
      <c r="HF76" s="34" t="e">
        <f>AND(#REF!,"AAAAAH//XdU=")</f>
        <v>#REF!</v>
      </c>
      <c r="HG76" s="34" t="e">
        <f>AND(#REF!,"AAAAAH//XdY=")</f>
        <v>#REF!</v>
      </c>
      <c r="HH76" s="34" t="e">
        <f>AND(#REF!,"AAAAAH//Xdc=")</f>
        <v>#REF!</v>
      </c>
      <c r="HI76" s="34" t="e">
        <f>AND(#REF!,"AAAAAH//Xdg=")</f>
        <v>#REF!</v>
      </c>
      <c r="HJ76" s="34" t="e">
        <f>AND(#REF!,"AAAAAH//Xdk=")</f>
        <v>#REF!</v>
      </c>
      <c r="HK76" s="34" t="e">
        <f>AND(#REF!,"AAAAAH//Xdo=")</f>
        <v>#REF!</v>
      </c>
      <c r="HL76" s="34" t="e">
        <f>AND(#REF!,"AAAAAH//Xds=")</f>
        <v>#REF!</v>
      </c>
      <c r="HM76" s="34" t="e">
        <f>AND(#REF!,"AAAAAH//Xdw=")</f>
        <v>#REF!</v>
      </c>
      <c r="HN76" s="34" t="e">
        <f>AND(#REF!,"AAAAAH//Xd0=")</f>
        <v>#REF!</v>
      </c>
      <c r="HO76" s="34" t="e">
        <f>AND(#REF!,"AAAAAH//Xd4=")</f>
        <v>#REF!</v>
      </c>
      <c r="HP76" s="34" t="e">
        <f>AND(#REF!,"AAAAAH//Xd8=")</f>
        <v>#REF!</v>
      </c>
      <c r="HQ76" s="34" t="e">
        <f>AND(#REF!,"AAAAAH//XeA=")</f>
        <v>#REF!</v>
      </c>
      <c r="HR76" s="34" t="e">
        <f>AND(#REF!,"AAAAAH//XeE=")</f>
        <v>#REF!</v>
      </c>
      <c r="HS76" s="34" t="e">
        <f>IF(#REF!,"AAAAAH//XeI=",0)</f>
        <v>#REF!</v>
      </c>
      <c r="HT76" s="34" t="e">
        <f>AND(#REF!,"AAAAAH//XeM=")</f>
        <v>#REF!</v>
      </c>
      <c r="HU76" s="34" t="e">
        <f>AND(#REF!,"AAAAAH//XeQ=")</f>
        <v>#REF!</v>
      </c>
      <c r="HV76" s="34" t="e">
        <f>AND(#REF!,"AAAAAH//XeU=")</f>
        <v>#REF!</v>
      </c>
      <c r="HW76" s="34" t="e">
        <f>AND(#REF!,"AAAAAH//XeY=")</f>
        <v>#REF!</v>
      </c>
      <c r="HX76" s="34" t="e">
        <f>AND(#REF!,"AAAAAH//Xec=")</f>
        <v>#REF!</v>
      </c>
      <c r="HY76" s="34" t="e">
        <f>AND(#REF!,"AAAAAH//Xeg=")</f>
        <v>#REF!</v>
      </c>
      <c r="HZ76" s="34" t="e">
        <f>AND(#REF!,"AAAAAH//Xek=")</f>
        <v>#REF!</v>
      </c>
      <c r="IA76" s="34" t="e">
        <f>AND(#REF!,"AAAAAH//Xeo=")</f>
        <v>#REF!</v>
      </c>
      <c r="IB76" s="34" t="e">
        <f>AND(#REF!,"AAAAAH//Xes=")</f>
        <v>#REF!</v>
      </c>
      <c r="IC76" s="34" t="e">
        <f>AND(#REF!,"AAAAAH//Xew=")</f>
        <v>#REF!</v>
      </c>
      <c r="ID76" s="34" t="e">
        <f>AND(#REF!,"AAAAAH//Xe0=")</f>
        <v>#REF!</v>
      </c>
      <c r="IE76" s="34" t="e">
        <f>AND(#REF!,"AAAAAH//Xe4=")</f>
        <v>#REF!</v>
      </c>
      <c r="IF76" s="34" t="e">
        <f>AND(#REF!,"AAAAAH//Xe8=")</f>
        <v>#REF!</v>
      </c>
      <c r="IG76" s="34" t="e">
        <f>AND(#REF!,"AAAAAH//XfA=")</f>
        <v>#REF!</v>
      </c>
      <c r="IH76" s="34" t="e">
        <f>AND(#REF!,"AAAAAH//XfE=")</f>
        <v>#REF!</v>
      </c>
      <c r="II76" s="34" t="e">
        <f>AND(#REF!,"AAAAAH//XfI=")</f>
        <v>#REF!</v>
      </c>
      <c r="IJ76" s="34" t="e">
        <f>IF(#REF!,"AAAAAH//XfM=",0)</f>
        <v>#REF!</v>
      </c>
      <c r="IK76" s="34" t="e">
        <f>AND(#REF!,"AAAAAH//XfQ=")</f>
        <v>#REF!</v>
      </c>
      <c r="IL76" s="34" t="e">
        <f>AND(#REF!,"AAAAAH//XfU=")</f>
        <v>#REF!</v>
      </c>
      <c r="IM76" s="34" t="e">
        <f>AND(#REF!,"AAAAAH//XfY=")</f>
        <v>#REF!</v>
      </c>
      <c r="IN76" s="34" t="e">
        <f>AND(#REF!,"AAAAAH//Xfc=")</f>
        <v>#REF!</v>
      </c>
      <c r="IO76" s="34" t="e">
        <f>AND(#REF!,"AAAAAH//Xfg=")</f>
        <v>#REF!</v>
      </c>
      <c r="IP76" s="34" t="e">
        <f>AND(#REF!,"AAAAAH//Xfk=")</f>
        <v>#REF!</v>
      </c>
      <c r="IQ76" s="34" t="e">
        <f>AND(#REF!,"AAAAAH//Xfo=")</f>
        <v>#REF!</v>
      </c>
      <c r="IR76" s="34" t="e">
        <f>AND(#REF!,"AAAAAH//Xfs=")</f>
        <v>#REF!</v>
      </c>
      <c r="IS76" s="34" t="e">
        <f>AND(#REF!,"AAAAAH//Xfw=")</f>
        <v>#REF!</v>
      </c>
      <c r="IT76" s="34" t="e">
        <f>AND(#REF!,"AAAAAH//Xf0=")</f>
        <v>#REF!</v>
      </c>
      <c r="IU76" s="34" t="e">
        <f>AND(#REF!,"AAAAAH//Xf4=")</f>
        <v>#REF!</v>
      </c>
      <c r="IV76" s="34" t="e">
        <f>AND(#REF!,"AAAAAH//Xf8=")</f>
        <v>#REF!</v>
      </c>
    </row>
    <row r="77" spans="1:256" ht="12.75" customHeight="1" x14ac:dyDescent="0.2">
      <c r="A77" s="34" t="e">
        <f>AND(#REF!,"AAAAAHatfgA=")</f>
        <v>#REF!</v>
      </c>
      <c r="B77" s="34" t="e">
        <f>AND(#REF!,"AAAAAHatfgE=")</f>
        <v>#REF!</v>
      </c>
      <c r="C77" s="34" t="e">
        <f>AND(#REF!,"AAAAAHatfgI=")</f>
        <v>#REF!</v>
      </c>
      <c r="D77" s="34" t="e">
        <f>AND(#REF!,"AAAAAHatfgM=")</f>
        <v>#REF!</v>
      </c>
      <c r="E77" s="34" t="e">
        <f>IF(#REF!,"AAAAAHatfgQ=",0)</f>
        <v>#REF!</v>
      </c>
      <c r="F77" s="34" t="e">
        <f>AND(#REF!,"AAAAAHatfgU=")</f>
        <v>#REF!</v>
      </c>
      <c r="G77" s="34" t="e">
        <f>AND(#REF!,"AAAAAHatfgY=")</f>
        <v>#REF!</v>
      </c>
      <c r="H77" s="34" t="e">
        <f>AND(#REF!,"AAAAAHatfgc=")</f>
        <v>#REF!</v>
      </c>
      <c r="I77" s="34" t="e">
        <f>AND(#REF!,"AAAAAHatfgg=")</f>
        <v>#REF!</v>
      </c>
      <c r="J77" s="34" t="e">
        <f>AND(#REF!,"AAAAAHatfgk=")</f>
        <v>#REF!</v>
      </c>
      <c r="K77" s="34" t="e">
        <f>AND(#REF!,"AAAAAHatfgo=")</f>
        <v>#REF!</v>
      </c>
      <c r="L77" s="34" t="e">
        <f>AND(#REF!,"AAAAAHatfgs=")</f>
        <v>#REF!</v>
      </c>
      <c r="M77" s="34" t="e">
        <f>AND(#REF!,"AAAAAHatfgw=")</f>
        <v>#REF!</v>
      </c>
      <c r="N77" s="34" t="e">
        <f>AND(#REF!,"AAAAAHatfg0=")</f>
        <v>#REF!</v>
      </c>
      <c r="O77" s="34" t="e">
        <f>AND(#REF!,"AAAAAHatfg4=")</f>
        <v>#REF!</v>
      </c>
      <c r="P77" s="34" t="e">
        <f>AND(#REF!,"AAAAAHatfg8=")</f>
        <v>#REF!</v>
      </c>
      <c r="Q77" s="34" t="e">
        <f>AND(#REF!,"AAAAAHatfhA=")</f>
        <v>#REF!</v>
      </c>
      <c r="R77" s="34" t="e">
        <f>AND(#REF!,"AAAAAHatfhE=")</f>
        <v>#REF!</v>
      </c>
      <c r="S77" s="34" t="e">
        <f>AND(#REF!,"AAAAAHatfhI=")</f>
        <v>#REF!</v>
      </c>
      <c r="T77" s="34" t="e">
        <f>AND(#REF!,"AAAAAHatfhM=")</f>
        <v>#REF!</v>
      </c>
      <c r="U77" s="34" t="e">
        <f>AND(#REF!,"AAAAAHatfhQ=")</f>
        <v>#REF!</v>
      </c>
      <c r="V77" s="34" t="e">
        <f>IF(#REF!,"AAAAAHatfhU=",0)</f>
        <v>#REF!</v>
      </c>
      <c r="W77" s="34" t="e">
        <f>AND(#REF!,"AAAAAHatfhY=")</f>
        <v>#REF!</v>
      </c>
      <c r="X77" s="34" t="e">
        <f>AND(#REF!,"AAAAAHatfhc=")</f>
        <v>#REF!</v>
      </c>
      <c r="Y77" s="34" t="e">
        <f>AND(#REF!,"AAAAAHatfhg=")</f>
        <v>#REF!</v>
      </c>
      <c r="Z77" s="34" t="e">
        <f>AND(#REF!,"AAAAAHatfhk=")</f>
        <v>#REF!</v>
      </c>
      <c r="AA77" s="34" t="e">
        <f>AND(#REF!,"AAAAAHatfho=")</f>
        <v>#REF!</v>
      </c>
      <c r="AB77" s="34" t="e">
        <f>AND(#REF!,"AAAAAHatfhs=")</f>
        <v>#REF!</v>
      </c>
      <c r="AC77" s="34" t="e">
        <f>AND(#REF!,"AAAAAHatfhw=")</f>
        <v>#REF!</v>
      </c>
      <c r="AD77" s="34" t="e">
        <f>AND(#REF!,"AAAAAHatfh0=")</f>
        <v>#REF!</v>
      </c>
      <c r="AE77" s="34" t="e">
        <f>AND(#REF!,"AAAAAHatfh4=")</f>
        <v>#REF!</v>
      </c>
      <c r="AF77" s="34" t="e">
        <f>AND(#REF!,"AAAAAHatfh8=")</f>
        <v>#REF!</v>
      </c>
      <c r="AG77" s="34" t="e">
        <f>AND(#REF!,"AAAAAHatfiA=")</f>
        <v>#REF!</v>
      </c>
      <c r="AH77" s="34" t="e">
        <f>AND(#REF!,"AAAAAHatfiE=")</f>
        <v>#REF!</v>
      </c>
      <c r="AI77" s="34" t="e">
        <f>AND(#REF!,"AAAAAHatfiI=")</f>
        <v>#REF!</v>
      </c>
      <c r="AJ77" s="34" t="e">
        <f>AND(#REF!,"AAAAAHatfiM=")</f>
        <v>#REF!</v>
      </c>
      <c r="AK77" s="34" t="e">
        <f>AND(#REF!,"AAAAAHatfiQ=")</f>
        <v>#REF!</v>
      </c>
      <c r="AL77" s="34" t="e">
        <f>AND(#REF!,"AAAAAHatfiU=")</f>
        <v>#REF!</v>
      </c>
      <c r="AM77" s="34" t="e">
        <f>IF(#REF!,"AAAAAHatfiY=",0)</f>
        <v>#REF!</v>
      </c>
      <c r="AN77" s="34" t="e">
        <f>AND(#REF!,"AAAAAHatfic=")</f>
        <v>#REF!</v>
      </c>
      <c r="AO77" s="34" t="e">
        <f>AND(#REF!,"AAAAAHatfig=")</f>
        <v>#REF!</v>
      </c>
      <c r="AP77" s="34" t="e">
        <f>AND(#REF!,"AAAAAHatfik=")</f>
        <v>#REF!</v>
      </c>
      <c r="AQ77" s="34" t="e">
        <f>AND(#REF!,"AAAAAHatfio=")</f>
        <v>#REF!</v>
      </c>
      <c r="AR77" s="34" t="e">
        <f>AND(#REF!,"AAAAAHatfis=")</f>
        <v>#REF!</v>
      </c>
      <c r="AS77" s="34" t="e">
        <f>AND(#REF!,"AAAAAHatfiw=")</f>
        <v>#REF!</v>
      </c>
      <c r="AT77" s="34" t="e">
        <f>AND(#REF!,"AAAAAHatfi0=")</f>
        <v>#REF!</v>
      </c>
      <c r="AU77" s="34" t="e">
        <f>AND(#REF!,"AAAAAHatfi4=")</f>
        <v>#REF!</v>
      </c>
      <c r="AV77" s="34" t="e">
        <f>AND(#REF!,"AAAAAHatfi8=")</f>
        <v>#REF!</v>
      </c>
      <c r="AW77" s="34" t="e">
        <f>AND(#REF!,"AAAAAHatfjA=")</f>
        <v>#REF!</v>
      </c>
      <c r="AX77" s="34" t="e">
        <f>AND(#REF!,"AAAAAHatfjE=")</f>
        <v>#REF!</v>
      </c>
      <c r="AY77" s="34" t="e">
        <f>AND(#REF!,"AAAAAHatfjI=")</f>
        <v>#REF!</v>
      </c>
      <c r="AZ77" s="34" t="e">
        <f>AND(#REF!,"AAAAAHatfjM=")</f>
        <v>#REF!</v>
      </c>
      <c r="BA77" s="34" t="e">
        <f>AND(#REF!,"AAAAAHatfjQ=")</f>
        <v>#REF!</v>
      </c>
      <c r="BB77" s="34" t="e">
        <f>AND(#REF!,"AAAAAHatfjU=")</f>
        <v>#REF!</v>
      </c>
      <c r="BC77" s="34" t="e">
        <f>AND(#REF!,"AAAAAHatfjY=")</f>
        <v>#REF!</v>
      </c>
      <c r="BD77" s="34" t="e">
        <f>IF(#REF!,"AAAAAHatfjc=",0)</f>
        <v>#REF!</v>
      </c>
      <c r="BE77" s="34" t="e">
        <f>AND(#REF!,"AAAAAHatfjg=")</f>
        <v>#REF!</v>
      </c>
      <c r="BF77" s="34" t="e">
        <f>AND(#REF!,"AAAAAHatfjk=")</f>
        <v>#REF!</v>
      </c>
      <c r="BG77" s="34" t="e">
        <f>AND(#REF!,"AAAAAHatfjo=")</f>
        <v>#REF!</v>
      </c>
      <c r="BH77" s="34" t="e">
        <f>AND(#REF!,"AAAAAHatfjs=")</f>
        <v>#REF!</v>
      </c>
      <c r="BI77" s="34" t="e">
        <f>AND(#REF!,"AAAAAHatfjw=")</f>
        <v>#REF!</v>
      </c>
      <c r="BJ77" s="34" t="e">
        <f>AND(#REF!,"AAAAAHatfj0=")</f>
        <v>#REF!</v>
      </c>
      <c r="BK77" s="34" t="e">
        <f>AND(#REF!,"AAAAAHatfj4=")</f>
        <v>#REF!</v>
      </c>
      <c r="BL77" s="34" t="e">
        <f>AND(#REF!,"AAAAAHatfj8=")</f>
        <v>#REF!</v>
      </c>
      <c r="BM77" s="34" t="e">
        <f>AND(#REF!,"AAAAAHatfkA=")</f>
        <v>#REF!</v>
      </c>
      <c r="BN77" s="34" t="e">
        <f>AND(#REF!,"AAAAAHatfkE=")</f>
        <v>#REF!</v>
      </c>
      <c r="BO77" s="34" t="e">
        <f>AND(#REF!,"AAAAAHatfkI=")</f>
        <v>#REF!</v>
      </c>
      <c r="BP77" s="34" t="e">
        <f>AND(#REF!,"AAAAAHatfkM=")</f>
        <v>#REF!</v>
      </c>
      <c r="BQ77" s="34" t="e">
        <f>AND(#REF!,"AAAAAHatfkQ=")</f>
        <v>#REF!</v>
      </c>
      <c r="BR77" s="34" t="e">
        <f>AND(#REF!,"AAAAAHatfkU=")</f>
        <v>#REF!</v>
      </c>
      <c r="BS77" s="34" t="e">
        <f>AND(#REF!,"AAAAAHatfkY=")</f>
        <v>#REF!</v>
      </c>
      <c r="BT77" s="34" t="e">
        <f>AND(#REF!,"AAAAAHatfkc=")</f>
        <v>#REF!</v>
      </c>
      <c r="BU77" s="34" t="e">
        <f>IF(#REF!,"AAAAAHatfkg=",0)</f>
        <v>#REF!</v>
      </c>
      <c r="BV77" s="34" t="e">
        <f>AND(#REF!,"AAAAAHatfkk=")</f>
        <v>#REF!</v>
      </c>
      <c r="BW77" s="34" t="e">
        <f>AND(#REF!,"AAAAAHatfko=")</f>
        <v>#REF!</v>
      </c>
      <c r="BX77" s="34" t="e">
        <f>AND(#REF!,"AAAAAHatfks=")</f>
        <v>#REF!</v>
      </c>
      <c r="BY77" s="34" t="e">
        <f>AND(#REF!,"AAAAAHatfkw=")</f>
        <v>#REF!</v>
      </c>
      <c r="BZ77" s="34" t="e">
        <f>AND(#REF!,"AAAAAHatfk0=")</f>
        <v>#REF!</v>
      </c>
      <c r="CA77" s="34" t="e">
        <f>AND(#REF!,"AAAAAHatfk4=")</f>
        <v>#REF!</v>
      </c>
      <c r="CB77" s="34" t="e">
        <f>AND(#REF!,"AAAAAHatfk8=")</f>
        <v>#REF!</v>
      </c>
      <c r="CC77" s="34" t="e">
        <f>AND(#REF!,"AAAAAHatflA=")</f>
        <v>#REF!</v>
      </c>
      <c r="CD77" s="34" t="e">
        <f>AND(#REF!,"AAAAAHatflE=")</f>
        <v>#REF!</v>
      </c>
      <c r="CE77" s="34" t="e">
        <f>AND(#REF!,"AAAAAHatflI=")</f>
        <v>#REF!</v>
      </c>
      <c r="CF77" s="34" t="e">
        <f>AND(#REF!,"AAAAAHatflM=")</f>
        <v>#REF!</v>
      </c>
      <c r="CG77" s="34" t="e">
        <f>AND(#REF!,"AAAAAHatflQ=")</f>
        <v>#REF!</v>
      </c>
      <c r="CH77" s="34" t="e">
        <f>AND(#REF!,"AAAAAHatflU=")</f>
        <v>#REF!</v>
      </c>
      <c r="CI77" s="34" t="e">
        <f>AND(#REF!,"AAAAAHatflY=")</f>
        <v>#REF!</v>
      </c>
      <c r="CJ77" s="34" t="e">
        <f>AND(#REF!,"AAAAAHatflc=")</f>
        <v>#REF!</v>
      </c>
      <c r="CK77" s="34" t="e">
        <f>AND(#REF!,"AAAAAHatflg=")</f>
        <v>#REF!</v>
      </c>
      <c r="CL77" s="34" t="e">
        <f>IF(#REF!,"AAAAAHatflk=",0)</f>
        <v>#REF!</v>
      </c>
      <c r="CM77" s="34" t="e">
        <f>AND(#REF!,"AAAAAHatflo=")</f>
        <v>#REF!</v>
      </c>
      <c r="CN77" s="34" t="e">
        <f>AND(#REF!,"AAAAAHatfls=")</f>
        <v>#REF!</v>
      </c>
      <c r="CO77" s="34" t="e">
        <f>AND(#REF!,"AAAAAHatflw=")</f>
        <v>#REF!</v>
      </c>
      <c r="CP77" s="34" t="e">
        <f>AND(#REF!,"AAAAAHatfl0=")</f>
        <v>#REF!</v>
      </c>
      <c r="CQ77" s="34" t="e">
        <f>AND(#REF!,"AAAAAHatfl4=")</f>
        <v>#REF!</v>
      </c>
      <c r="CR77" s="34" t="e">
        <f>AND(#REF!,"AAAAAHatfl8=")</f>
        <v>#REF!</v>
      </c>
      <c r="CS77" s="34" t="e">
        <f>AND(#REF!,"AAAAAHatfmA=")</f>
        <v>#REF!</v>
      </c>
      <c r="CT77" s="34" t="e">
        <f>AND(#REF!,"AAAAAHatfmE=")</f>
        <v>#REF!</v>
      </c>
      <c r="CU77" s="34" t="e">
        <f>AND(#REF!,"AAAAAHatfmI=")</f>
        <v>#REF!</v>
      </c>
      <c r="CV77" s="34" t="e">
        <f>AND(#REF!,"AAAAAHatfmM=")</f>
        <v>#REF!</v>
      </c>
      <c r="CW77" s="34" t="e">
        <f>AND(#REF!,"AAAAAHatfmQ=")</f>
        <v>#REF!</v>
      </c>
      <c r="CX77" s="34" t="e">
        <f>AND(#REF!,"AAAAAHatfmU=")</f>
        <v>#REF!</v>
      </c>
      <c r="CY77" s="34" t="e">
        <f>AND(#REF!,"AAAAAHatfmY=")</f>
        <v>#REF!</v>
      </c>
      <c r="CZ77" s="34" t="e">
        <f>AND(#REF!,"AAAAAHatfmc=")</f>
        <v>#REF!</v>
      </c>
      <c r="DA77" s="34" t="e">
        <f>AND(#REF!,"AAAAAHatfmg=")</f>
        <v>#REF!</v>
      </c>
      <c r="DB77" s="34" t="e">
        <f>AND(#REF!,"AAAAAHatfmk=")</f>
        <v>#REF!</v>
      </c>
      <c r="DC77" s="34" t="e">
        <f>IF(#REF!,"AAAAAHatfmo=",0)</f>
        <v>#REF!</v>
      </c>
      <c r="DD77" s="34" t="e">
        <f>AND(#REF!,"AAAAAHatfms=")</f>
        <v>#REF!</v>
      </c>
      <c r="DE77" s="34" t="e">
        <f>AND(#REF!,"AAAAAHatfmw=")</f>
        <v>#REF!</v>
      </c>
      <c r="DF77" s="34" t="e">
        <f>AND(#REF!,"AAAAAHatfm0=")</f>
        <v>#REF!</v>
      </c>
      <c r="DG77" s="34" t="e">
        <f>AND(#REF!,"AAAAAHatfm4=")</f>
        <v>#REF!</v>
      </c>
      <c r="DH77" s="34" t="e">
        <f>AND(#REF!,"AAAAAHatfm8=")</f>
        <v>#REF!</v>
      </c>
      <c r="DI77" s="34" t="e">
        <f>AND(#REF!,"AAAAAHatfnA=")</f>
        <v>#REF!</v>
      </c>
      <c r="DJ77" s="34" t="e">
        <f>AND(#REF!,"AAAAAHatfnE=")</f>
        <v>#REF!</v>
      </c>
      <c r="DK77" s="34" t="e">
        <f>AND(#REF!,"AAAAAHatfnI=")</f>
        <v>#REF!</v>
      </c>
      <c r="DL77" s="34" t="e">
        <f>AND(#REF!,"AAAAAHatfnM=")</f>
        <v>#REF!</v>
      </c>
      <c r="DM77" s="34" t="e">
        <f>AND(#REF!,"AAAAAHatfnQ=")</f>
        <v>#REF!</v>
      </c>
      <c r="DN77" s="34" t="e">
        <f>AND(#REF!,"AAAAAHatfnU=")</f>
        <v>#REF!</v>
      </c>
      <c r="DO77" s="34" t="e">
        <f>AND(#REF!,"AAAAAHatfnY=")</f>
        <v>#REF!</v>
      </c>
      <c r="DP77" s="34" t="e">
        <f>AND(#REF!,"AAAAAHatfnc=")</f>
        <v>#REF!</v>
      </c>
      <c r="DQ77" s="34" t="e">
        <f>AND(#REF!,"AAAAAHatfng=")</f>
        <v>#REF!</v>
      </c>
      <c r="DR77" s="34" t="e">
        <f>AND(#REF!,"AAAAAHatfnk=")</f>
        <v>#REF!</v>
      </c>
      <c r="DS77" s="34" t="e">
        <f>AND(#REF!,"AAAAAHatfno=")</f>
        <v>#REF!</v>
      </c>
      <c r="DT77" s="34" t="e">
        <f>IF(#REF!,"AAAAAHatfns=",0)</f>
        <v>#REF!</v>
      </c>
      <c r="DU77" s="34" t="e">
        <f>AND(#REF!,"AAAAAHatfnw=")</f>
        <v>#REF!</v>
      </c>
      <c r="DV77" s="34" t="e">
        <f>AND(#REF!,"AAAAAHatfn0=")</f>
        <v>#REF!</v>
      </c>
      <c r="DW77" s="34" t="e">
        <f>AND(#REF!,"AAAAAHatfn4=")</f>
        <v>#REF!</v>
      </c>
      <c r="DX77" s="34" t="e">
        <f>AND(#REF!,"AAAAAHatfn8=")</f>
        <v>#REF!</v>
      </c>
      <c r="DY77" s="34" t="e">
        <f>AND(#REF!,"AAAAAHatfoA=")</f>
        <v>#REF!</v>
      </c>
      <c r="DZ77" s="34" t="e">
        <f>AND(#REF!,"AAAAAHatfoE=")</f>
        <v>#REF!</v>
      </c>
      <c r="EA77" s="34" t="e">
        <f>AND(#REF!,"AAAAAHatfoI=")</f>
        <v>#REF!</v>
      </c>
      <c r="EB77" s="34" t="e">
        <f>AND(#REF!,"AAAAAHatfoM=")</f>
        <v>#REF!</v>
      </c>
      <c r="EC77" s="34" t="e">
        <f>AND(#REF!,"AAAAAHatfoQ=")</f>
        <v>#REF!</v>
      </c>
      <c r="ED77" s="34" t="e">
        <f>AND(#REF!,"AAAAAHatfoU=")</f>
        <v>#REF!</v>
      </c>
      <c r="EE77" s="34" t="e">
        <f>AND(#REF!,"AAAAAHatfoY=")</f>
        <v>#REF!</v>
      </c>
      <c r="EF77" s="34" t="e">
        <f>AND(#REF!,"AAAAAHatfoc=")</f>
        <v>#REF!</v>
      </c>
      <c r="EG77" s="34" t="e">
        <f>AND(#REF!,"AAAAAHatfog=")</f>
        <v>#REF!</v>
      </c>
      <c r="EH77" s="34" t="e">
        <f>AND(#REF!,"AAAAAHatfok=")</f>
        <v>#REF!</v>
      </c>
      <c r="EI77" s="34" t="e">
        <f>AND(#REF!,"AAAAAHatfoo=")</f>
        <v>#REF!</v>
      </c>
      <c r="EJ77" s="34" t="e">
        <f>AND(#REF!,"AAAAAHatfos=")</f>
        <v>#REF!</v>
      </c>
      <c r="EK77" s="34" t="e">
        <f>IF(#REF!,"AAAAAHatfow=",0)</f>
        <v>#REF!</v>
      </c>
      <c r="EL77" s="34" t="e">
        <f>AND(#REF!,"AAAAAHatfo0=")</f>
        <v>#REF!</v>
      </c>
      <c r="EM77" s="34" t="e">
        <f>AND(#REF!,"AAAAAHatfo4=")</f>
        <v>#REF!</v>
      </c>
      <c r="EN77" s="34" t="e">
        <f>AND(#REF!,"AAAAAHatfo8=")</f>
        <v>#REF!</v>
      </c>
      <c r="EO77" s="34" t="e">
        <f>AND(#REF!,"AAAAAHatfpA=")</f>
        <v>#REF!</v>
      </c>
      <c r="EP77" s="34" t="e">
        <f>AND(#REF!,"AAAAAHatfpE=")</f>
        <v>#REF!</v>
      </c>
      <c r="EQ77" s="34" t="e">
        <f>AND(#REF!,"AAAAAHatfpI=")</f>
        <v>#REF!</v>
      </c>
      <c r="ER77" s="34" t="e">
        <f>AND(#REF!,"AAAAAHatfpM=")</f>
        <v>#REF!</v>
      </c>
      <c r="ES77" s="34" t="e">
        <f>AND(#REF!,"AAAAAHatfpQ=")</f>
        <v>#REF!</v>
      </c>
      <c r="ET77" s="34" t="e">
        <f>AND(#REF!,"AAAAAHatfpU=")</f>
        <v>#REF!</v>
      </c>
      <c r="EU77" s="34" t="e">
        <f>AND(#REF!,"AAAAAHatfpY=")</f>
        <v>#REF!</v>
      </c>
      <c r="EV77" s="34" t="e">
        <f>AND(#REF!,"AAAAAHatfpc=")</f>
        <v>#REF!</v>
      </c>
      <c r="EW77" s="34" t="e">
        <f>AND(#REF!,"AAAAAHatfpg=")</f>
        <v>#REF!</v>
      </c>
      <c r="EX77" s="34" t="e">
        <f>AND(#REF!,"AAAAAHatfpk=")</f>
        <v>#REF!</v>
      </c>
      <c r="EY77" s="34" t="e">
        <f>AND(#REF!,"AAAAAHatfpo=")</f>
        <v>#REF!</v>
      </c>
      <c r="EZ77" s="34" t="e">
        <f>AND(#REF!,"AAAAAHatfps=")</f>
        <v>#REF!</v>
      </c>
      <c r="FA77" s="34" t="e">
        <f>AND(#REF!,"AAAAAHatfpw=")</f>
        <v>#REF!</v>
      </c>
      <c r="FB77" s="34" t="e">
        <f>IF(#REF!,"AAAAAHatfp0=",0)</f>
        <v>#REF!</v>
      </c>
      <c r="FC77" s="34" t="e">
        <f>AND(#REF!,"AAAAAHatfp4=")</f>
        <v>#REF!</v>
      </c>
      <c r="FD77" s="34" t="e">
        <f>AND(#REF!,"AAAAAHatfp8=")</f>
        <v>#REF!</v>
      </c>
      <c r="FE77" s="34" t="e">
        <f>AND(#REF!,"AAAAAHatfqA=")</f>
        <v>#REF!</v>
      </c>
      <c r="FF77" s="34" t="e">
        <f>AND(#REF!,"AAAAAHatfqE=")</f>
        <v>#REF!</v>
      </c>
      <c r="FG77" s="34" t="e">
        <f>AND(#REF!,"AAAAAHatfqI=")</f>
        <v>#REF!</v>
      </c>
      <c r="FH77" s="34" t="e">
        <f>AND(#REF!,"AAAAAHatfqM=")</f>
        <v>#REF!</v>
      </c>
      <c r="FI77" s="34" t="e">
        <f>AND(#REF!,"AAAAAHatfqQ=")</f>
        <v>#REF!</v>
      </c>
      <c r="FJ77" s="34" t="e">
        <f>AND(#REF!,"AAAAAHatfqU=")</f>
        <v>#REF!</v>
      </c>
      <c r="FK77" s="34" t="e">
        <f>AND(#REF!,"AAAAAHatfqY=")</f>
        <v>#REF!</v>
      </c>
      <c r="FL77" s="34" t="e">
        <f>AND(#REF!,"AAAAAHatfqc=")</f>
        <v>#REF!</v>
      </c>
      <c r="FM77" s="34" t="e">
        <f>AND(#REF!,"AAAAAHatfqg=")</f>
        <v>#REF!</v>
      </c>
      <c r="FN77" s="34" t="e">
        <f>AND(#REF!,"AAAAAHatfqk=")</f>
        <v>#REF!</v>
      </c>
      <c r="FO77" s="34" t="e">
        <f>AND(#REF!,"AAAAAHatfqo=")</f>
        <v>#REF!</v>
      </c>
      <c r="FP77" s="34" t="e">
        <f>AND(#REF!,"AAAAAHatfqs=")</f>
        <v>#REF!</v>
      </c>
      <c r="FQ77" s="34" t="e">
        <f>AND(#REF!,"AAAAAHatfqw=")</f>
        <v>#REF!</v>
      </c>
      <c r="FR77" s="34" t="e">
        <f>AND(#REF!,"AAAAAHatfq0=")</f>
        <v>#REF!</v>
      </c>
      <c r="FS77" s="34" t="e">
        <f>IF(#REF!,"AAAAAHatfq4=",0)</f>
        <v>#REF!</v>
      </c>
      <c r="FT77" s="34" t="e">
        <f>AND(#REF!,"AAAAAHatfq8=")</f>
        <v>#REF!</v>
      </c>
      <c r="FU77" s="34" t="e">
        <f>AND(#REF!,"AAAAAHatfrA=")</f>
        <v>#REF!</v>
      </c>
      <c r="FV77" s="34" t="e">
        <f>AND(#REF!,"AAAAAHatfrE=")</f>
        <v>#REF!</v>
      </c>
      <c r="FW77" s="34" t="e">
        <f>AND(#REF!,"AAAAAHatfrI=")</f>
        <v>#REF!</v>
      </c>
      <c r="FX77" s="34" t="e">
        <f>AND(#REF!,"AAAAAHatfrM=")</f>
        <v>#REF!</v>
      </c>
      <c r="FY77" s="34" t="e">
        <f>AND(#REF!,"AAAAAHatfrQ=")</f>
        <v>#REF!</v>
      </c>
      <c r="FZ77" s="34" t="e">
        <f>AND(#REF!,"AAAAAHatfrU=")</f>
        <v>#REF!</v>
      </c>
      <c r="GA77" s="34" t="e">
        <f>AND(#REF!,"AAAAAHatfrY=")</f>
        <v>#REF!</v>
      </c>
      <c r="GB77" s="34" t="e">
        <f>AND(#REF!,"AAAAAHatfrc=")</f>
        <v>#REF!</v>
      </c>
      <c r="GC77" s="34" t="e">
        <f>AND(#REF!,"AAAAAHatfrg=")</f>
        <v>#REF!</v>
      </c>
      <c r="GD77" s="34" t="e">
        <f>AND(#REF!,"AAAAAHatfrk=")</f>
        <v>#REF!</v>
      </c>
      <c r="GE77" s="34" t="e">
        <f>AND(#REF!,"AAAAAHatfro=")</f>
        <v>#REF!</v>
      </c>
      <c r="GF77" s="34" t="e">
        <f>AND(#REF!,"AAAAAHatfrs=")</f>
        <v>#REF!</v>
      </c>
      <c r="GG77" s="34" t="e">
        <f>AND(#REF!,"AAAAAHatfrw=")</f>
        <v>#REF!</v>
      </c>
      <c r="GH77" s="34" t="e">
        <f>AND(#REF!,"AAAAAHatfr0=")</f>
        <v>#REF!</v>
      </c>
      <c r="GI77" s="34" t="e">
        <f>AND(#REF!,"AAAAAHatfr4=")</f>
        <v>#REF!</v>
      </c>
      <c r="GJ77" s="34" t="e">
        <f>IF(#REF!,"AAAAAHatfr8=",0)</f>
        <v>#REF!</v>
      </c>
      <c r="GK77" s="34" t="e">
        <f>AND(#REF!,"AAAAAHatfsA=")</f>
        <v>#REF!</v>
      </c>
      <c r="GL77" s="34" t="e">
        <f>AND(#REF!,"AAAAAHatfsE=")</f>
        <v>#REF!</v>
      </c>
      <c r="GM77" s="34" t="e">
        <f>AND(#REF!,"AAAAAHatfsI=")</f>
        <v>#REF!</v>
      </c>
      <c r="GN77" s="34" t="e">
        <f>AND(#REF!,"AAAAAHatfsM=")</f>
        <v>#REF!</v>
      </c>
      <c r="GO77" s="34" t="e">
        <f>AND(#REF!,"AAAAAHatfsQ=")</f>
        <v>#REF!</v>
      </c>
      <c r="GP77" s="34" t="e">
        <f>AND(#REF!,"AAAAAHatfsU=")</f>
        <v>#REF!</v>
      </c>
      <c r="GQ77" s="34" t="e">
        <f>AND(#REF!,"AAAAAHatfsY=")</f>
        <v>#REF!</v>
      </c>
      <c r="GR77" s="34" t="e">
        <f>AND(#REF!,"AAAAAHatfsc=")</f>
        <v>#REF!</v>
      </c>
      <c r="GS77" s="34" t="e">
        <f>AND(#REF!,"AAAAAHatfsg=")</f>
        <v>#REF!</v>
      </c>
      <c r="GT77" s="34" t="e">
        <f>AND(#REF!,"AAAAAHatfsk=")</f>
        <v>#REF!</v>
      </c>
      <c r="GU77" s="34" t="e">
        <f>AND(#REF!,"AAAAAHatfso=")</f>
        <v>#REF!</v>
      </c>
      <c r="GV77" s="34" t="e">
        <f>AND(#REF!,"AAAAAHatfss=")</f>
        <v>#REF!</v>
      </c>
      <c r="GW77" s="34" t="e">
        <f>AND(#REF!,"AAAAAHatfsw=")</f>
        <v>#REF!</v>
      </c>
      <c r="GX77" s="34" t="e">
        <f>AND(#REF!,"AAAAAHatfs0=")</f>
        <v>#REF!</v>
      </c>
      <c r="GY77" s="34" t="e">
        <f>AND(#REF!,"AAAAAHatfs4=")</f>
        <v>#REF!</v>
      </c>
      <c r="GZ77" s="34" t="e">
        <f>AND(#REF!,"AAAAAHatfs8=")</f>
        <v>#REF!</v>
      </c>
      <c r="HA77" s="34" t="e">
        <f>IF(#REF!,"AAAAAHatftA=",0)</f>
        <v>#REF!</v>
      </c>
      <c r="HB77" s="34" t="e">
        <f>AND(#REF!,"AAAAAHatftE=")</f>
        <v>#REF!</v>
      </c>
      <c r="HC77" s="34" t="e">
        <f>AND(#REF!,"AAAAAHatftI=")</f>
        <v>#REF!</v>
      </c>
      <c r="HD77" s="34" t="e">
        <f>AND(#REF!,"AAAAAHatftM=")</f>
        <v>#REF!</v>
      </c>
      <c r="HE77" s="34" t="e">
        <f>AND(#REF!,"AAAAAHatftQ=")</f>
        <v>#REF!</v>
      </c>
      <c r="HF77" s="34" t="e">
        <f>AND(#REF!,"AAAAAHatftU=")</f>
        <v>#REF!</v>
      </c>
      <c r="HG77" s="34" t="e">
        <f>AND(#REF!,"AAAAAHatftY=")</f>
        <v>#REF!</v>
      </c>
      <c r="HH77" s="34" t="e">
        <f>AND(#REF!,"AAAAAHatftc=")</f>
        <v>#REF!</v>
      </c>
      <c r="HI77" s="34" t="e">
        <f>AND(#REF!,"AAAAAHatftg=")</f>
        <v>#REF!</v>
      </c>
      <c r="HJ77" s="34" t="e">
        <f>AND(#REF!,"AAAAAHatftk=")</f>
        <v>#REF!</v>
      </c>
      <c r="HK77" s="34" t="e">
        <f>AND(#REF!,"AAAAAHatfto=")</f>
        <v>#REF!</v>
      </c>
      <c r="HL77" s="34" t="e">
        <f>AND(#REF!,"AAAAAHatfts=")</f>
        <v>#REF!</v>
      </c>
      <c r="HM77" s="34" t="e">
        <f>AND(#REF!,"AAAAAHatftw=")</f>
        <v>#REF!</v>
      </c>
      <c r="HN77" s="34" t="e">
        <f>AND(#REF!,"AAAAAHatft0=")</f>
        <v>#REF!</v>
      </c>
      <c r="HO77" s="34" t="e">
        <f>AND(#REF!,"AAAAAHatft4=")</f>
        <v>#REF!</v>
      </c>
      <c r="HP77" s="34" t="e">
        <f>AND(#REF!,"AAAAAHatft8=")</f>
        <v>#REF!</v>
      </c>
      <c r="HQ77" s="34" t="e">
        <f>AND(#REF!,"AAAAAHatfuA=")</f>
        <v>#REF!</v>
      </c>
      <c r="HR77" s="34" t="e">
        <f>IF(#REF!,"AAAAAHatfuE=",0)</f>
        <v>#REF!</v>
      </c>
      <c r="HS77" s="34" t="e">
        <f>AND(#REF!,"AAAAAHatfuI=")</f>
        <v>#REF!</v>
      </c>
      <c r="HT77" s="34" t="e">
        <f>AND(#REF!,"AAAAAHatfuM=")</f>
        <v>#REF!</v>
      </c>
      <c r="HU77" s="34" t="e">
        <f>AND(#REF!,"AAAAAHatfuQ=")</f>
        <v>#REF!</v>
      </c>
      <c r="HV77" s="34" t="e">
        <f>AND(#REF!,"AAAAAHatfuU=")</f>
        <v>#REF!</v>
      </c>
      <c r="HW77" s="34" t="e">
        <f>AND(#REF!,"AAAAAHatfuY=")</f>
        <v>#REF!</v>
      </c>
      <c r="HX77" s="34" t="e">
        <f>AND(#REF!,"AAAAAHatfuc=")</f>
        <v>#REF!</v>
      </c>
      <c r="HY77" s="34" t="e">
        <f>AND(#REF!,"AAAAAHatfug=")</f>
        <v>#REF!</v>
      </c>
      <c r="HZ77" s="34" t="e">
        <f>AND(#REF!,"AAAAAHatfuk=")</f>
        <v>#REF!</v>
      </c>
      <c r="IA77" s="34" t="e">
        <f>AND(#REF!,"AAAAAHatfuo=")</f>
        <v>#REF!</v>
      </c>
      <c r="IB77" s="34" t="e">
        <f>AND(#REF!,"AAAAAHatfus=")</f>
        <v>#REF!</v>
      </c>
      <c r="IC77" s="34" t="e">
        <f>AND(#REF!,"AAAAAHatfuw=")</f>
        <v>#REF!</v>
      </c>
      <c r="ID77" s="34" t="e">
        <f>AND(#REF!,"AAAAAHatfu0=")</f>
        <v>#REF!</v>
      </c>
      <c r="IE77" s="34" t="e">
        <f>AND(#REF!,"AAAAAHatfu4=")</f>
        <v>#REF!</v>
      </c>
      <c r="IF77" s="34" t="e">
        <f>AND(#REF!,"AAAAAHatfu8=")</f>
        <v>#REF!</v>
      </c>
      <c r="IG77" s="34" t="e">
        <f>AND(#REF!,"AAAAAHatfvA=")</f>
        <v>#REF!</v>
      </c>
      <c r="IH77" s="34" t="e">
        <f>AND(#REF!,"AAAAAHatfvE=")</f>
        <v>#REF!</v>
      </c>
      <c r="II77" s="34" t="e">
        <f>IF(#REF!,"AAAAAHatfvI=",0)</f>
        <v>#REF!</v>
      </c>
      <c r="IJ77" s="34" t="e">
        <f>AND(#REF!,"AAAAAHatfvM=")</f>
        <v>#REF!</v>
      </c>
      <c r="IK77" s="34" t="e">
        <f>AND(#REF!,"AAAAAHatfvQ=")</f>
        <v>#REF!</v>
      </c>
      <c r="IL77" s="34" t="e">
        <f>AND(#REF!,"AAAAAHatfvU=")</f>
        <v>#REF!</v>
      </c>
      <c r="IM77" s="34" t="e">
        <f>AND(#REF!,"AAAAAHatfvY=")</f>
        <v>#REF!</v>
      </c>
      <c r="IN77" s="34" t="e">
        <f>AND(#REF!,"AAAAAHatfvc=")</f>
        <v>#REF!</v>
      </c>
      <c r="IO77" s="34" t="e">
        <f>AND(#REF!,"AAAAAHatfvg=")</f>
        <v>#REF!</v>
      </c>
      <c r="IP77" s="34" t="e">
        <f>AND(#REF!,"AAAAAHatfvk=")</f>
        <v>#REF!</v>
      </c>
      <c r="IQ77" s="34" t="e">
        <f>AND(#REF!,"AAAAAHatfvo=")</f>
        <v>#REF!</v>
      </c>
      <c r="IR77" s="34" t="e">
        <f>AND(#REF!,"AAAAAHatfvs=")</f>
        <v>#REF!</v>
      </c>
      <c r="IS77" s="34" t="e">
        <f>AND(#REF!,"AAAAAHatfvw=")</f>
        <v>#REF!</v>
      </c>
      <c r="IT77" s="34" t="e">
        <f>AND(#REF!,"AAAAAHatfv0=")</f>
        <v>#REF!</v>
      </c>
      <c r="IU77" s="34" t="e">
        <f>AND(#REF!,"AAAAAHatfv4=")</f>
        <v>#REF!</v>
      </c>
      <c r="IV77" s="34" t="e">
        <f>AND(#REF!,"AAAAAHatfv8=")</f>
        <v>#REF!</v>
      </c>
    </row>
    <row r="78" spans="1:256" ht="12.75" customHeight="1" x14ac:dyDescent="0.2">
      <c r="A78" s="34" t="e">
        <f>AND(#REF!,"AAAAAG/7+QA=")</f>
        <v>#REF!</v>
      </c>
      <c r="B78" s="34" t="e">
        <f>AND(#REF!,"AAAAAG/7+QE=")</f>
        <v>#REF!</v>
      </c>
      <c r="C78" s="34" t="e">
        <f>AND(#REF!,"AAAAAG/7+QI=")</f>
        <v>#REF!</v>
      </c>
      <c r="D78" s="34" t="e">
        <f>IF(#REF!,"AAAAAG/7+QM=",0)</f>
        <v>#REF!</v>
      </c>
      <c r="E78" s="34" t="e">
        <f>AND(#REF!,"AAAAAG/7+QQ=")</f>
        <v>#REF!</v>
      </c>
      <c r="F78" s="34" t="e">
        <f>AND(#REF!,"AAAAAG/7+QU=")</f>
        <v>#REF!</v>
      </c>
      <c r="G78" s="34" t="e">
        <f>AND(#REF!,"AAAAAG/7+QY=")</f>
        <v>#REF!</v>
      </c>
      <c r="H78" s="34" t="e">
        <f>AND(#REF!,"AAAAAG/7+Qc=")</f>
        <v>#REF!</v>
      </c>
      <c r="I78" s="34" t="e">
        <f>AND(#REF!,"AAAAAG/7+Qg=")</f>
        <v>#REF!</v>
      </c>
      <c r="J78" s="34" t="e">
        <f>AND(#REF!,"AAAAAG/7+Qk=")</f>
        <v>#REF!</v>
      </c>
      <c r="K78" s="34" t="e">
        <f>AND(#REF!,"AAAAAG/7+Qo=")</f>
        <v>#REF!</v>
      </c>
      <c r="L78" s="34" t="e">
        <f>AND(#REF!,"AAAAAG/7+Qs=")</f>
        <v>#REF!</v>
      </c>
      <c r="M78" s="34" t="e">
        <f>AND(#REF!,"AAAAAG/7+Qw=")</f>
        <v>#REF!</v>
      </c>
      <c r="N78" s="34" t="e">
        <f>AND(#REF!,"AAAAAG/7+Q0=")</f>
        <v>#REF!</v>
      </c>
      <c r="O78" s="34" t="e">
        <f>AND(#REF!,"AAAAAG/7+Q4=")</f>
        <v>#REF!</v>
      </c>
      <c r="P78" s="34" t="e">
        <f>AND(#REF!,"AAAAAG/7+Q8=")</f>
        <v>#REF!</v>
      </c>
      <c r="Q78" s="34" t="e">
        <f>AND(#REF!,"AAAAAG/7+RA=")</f>
        <v>#REF!</v>
      </c>
      <c r="R78" s="34" t="e">
        <f>AND(#REF!,"AAAAAG/7+RE=")</f>
        <v>#REF!</v>
      </c>
      <c r="S78" s="34" t="e">
        <f>AND(#REF!,"AAAAAG/7+RI=")</f>
        <v>#REF!</v>
      </c>
      <c r="T78" s="34" t="e">
        <f>AND(#REF!,"AAAAAG/7+RM=")</f>
        <v>#REF!</v>
      </c>
      <c r="U78" s="34" t="e">
        <f>IF(#REF!,"AAAAAG/7+RQ=",0)</f>
        <v>#REF!</v>
      </c>
      <c r="V78" s="34" t="e">
        <f>AND(#REF!,"AAAAAG/7+RU=")</f>
        <v>#REF!</v>
      </c>
      <c r="W78" s="34" t="e">
        <f>AND(#REF!,"AAAAAG/7+RY=")</f>
        <v>#REF!</v>
      </c>
      <c r="X78" s="34" t="e">
        <f>AND(#REF!,"AAAAAG/7+Rc=")</f>
        <v>#REF!</v>
      </c>
      <c r="Y78" s="34" t="e">
        <f>AND(#REF!,"AAAAAG/7+Rg=")</f>
        <v>#REF!</v>
      </c>
      <c r="Z78" s="34" t="e">
        <f>AND(#REF!,"AAAAAG/7+Rk=")</f>
        <v>#REF!</v>
      </c>
      <c r="AA78" s="34" t="e">
        <f>AND(#REF!,"AAAAAG/7+Ro=")</f>
        <v>#REF!</v>
      </c>
      <c r="AB78" s="34" t="e">
        <f>AND(#REF!,"AAAAAG/7+Rs=")</f>
        <v>#REF!</v>
      </c>
      <c r="AC78" s="34" t="e">
        <f>AND(#REF!,"AAAAAG/7+Rw=")</f>
        <v>#REF!</v>
      </c>
      <c r="AD78" s="34" t="e">
        <f>AND(#REF!,"AAAAAG/7+R0=")</f>
        <v>#REF!</v>
      </c>
      <c r="AE78" s="34" t="e">
        <f>AND(#REF!,"AAAAAG/7+R4=")</f>
        <v>#REF!</v>
      </c>
      <c r="AF78" s="34" t="e">
        <f>AND(#REF!,"AAAAAG/7+R8=")</f>
        <v>#REF!</v>
      </c>
      <c r="AG78" s="34" t="e">
        <f>AND(#REF!,"AAAAAG/7+SA=")</f>
        <v>#REF!</v>
      </c>
      <c r="AH78" s="34" t="e">
        <f>AND(#REF!,"AAAAAG/7+SE=")</f>
        <v>#REF!</v>
      </c>
      <c r="AI78" s="34" t="e">
        <f>AND(#REF!,"AAAAAG/7+SI=")</f>
        <v>#REF!</v>
      </c>
      <c r="AJ78" s="34" t="e">
        <f>AND(#REF!,"AAAAAG/7+SM=")</f>
        <v>#REF!</v>
      </c>
      <c r="AK78" s="34" t="e">
        <f>AND(#REF!,"AAAAAG/7+SQ=")</f>
        <v>#REF!</v>
      </c>
      <c r="AL78" s="34" t="e">
        <f>IF(#REF!,"AAAAAG/7+SU=",0)</f>
        <v>#REF!</v>
      </c>
      <c r="AM78" s="34" t="e">
        <f>AND(#REF!,"AAAAAG/7+SY=")</f>
        <v>#REF!</v>
      </c>
      <c r="AN78" s="34" t="e">
        <f>AND(#REF!,"AAAAAG/7+Sc=")</f>
        <v>#REF!</v>
      </c>
      <c r="AO78" s="34" t="e">
        <f>AND(#REF!,"AAAAAG/7+Sg=")</f>
        <v>#REF!</v>
      </c>
      <c r="AP78" s="34" t="e">
        <f>AND(#REF!,"AAAAAG/7+Sk=")</f>
        <v>#REF!</v>
      </c>
      <c r="AQ78" s="34" t="e">
        <f>AND(#REF!,"AAAAAG/7+So=")</f>
        <v>#REF!</v>
      </c>
      <c r="AR78" s="34" t="e">
        <f>AND(#REF!,"AAAAAG/7+Ss=")</f>
        <v>#REF!</v>
      </c>
      <c r="AS78" s="34" t="e">
        <f>AND(#REF!,"AAAAAG/7+Sw=")</f>
        <v>#REF!</v>
      </c>
      <c r="AT78" s="34" t="e">
        <f>AND(#REF!,"AAAAAG/7+S0=")</f>
        <v>#REF!</v>
      </c>
      <c r="AU78" s="34" t="e">
        <f>AND(#REF!,"AAAAAG/7+S4=")</f>
        <v>#REF!</v>
      </c>
      <c r="AV78" s="34" t="e">
        <f>AND(#REF!,"AAAAAG/7+S8=")</f>
        <v>#REF!</v>
      </c>
      <c r="AW78" s="34" t="e">
        <f>AND(#REF!,"AAAAAG/7+TA=")</f>
        <v>#REF!</v>
      </c>
      <c r="AX78" s="34" t="e">
        <f>AND(#REF!,"AAAAAG/7+TE=")</f>
        <v>#REF!</v>
      </c>
      <c r="AY78" s="34" t="e">
        <f>AND(#REF!,"AAAAAG/7+TI=")</f>
        <v>#REF!</v>
      </c>
      <c r="AZ78" s="34" t="e">
        <f>AND(#REF!,"AAAAAG/7+TM=")</f>
        <v>#REF!</v>
      </c>
      <c r="BA78" s="34" t="e">
        <f>AND(#REF!,"AAAAAG/7+TQ=")</f>
        <v>#REF!</v>
      </c>
      <c r="BB78" s="34" t="e">
        <f>AND(#REF!,"AAAAAG/7+TU=")</f>
        <v>#REF!</v>
      </c>
      <c r="BC78" s="34" t="e">
        <f>IF(#REF!,"AAAAAG/7+TY=",0)</f>
        <v>#REF!</v>
      </c>
      <c r="BD78" s="34" t="e">
        <f>AND(#REF!,"AAAAAG/7+Tc=")</f>
        <v>#REF!</v>
      </c>
      <c r="BE78" s="34" t="e">
        <f>AND(#REF!,"AAAAAG/7+Tg=")</f>
        <v>#REF!</v>
      </c>
      <c r="BF78" s="34" t="e">
        <f>AND(#REF!,"AAAAAG/7+Tk=")</f>
        <v>#REF!</v>
      </c>
      <c r="BG78" s="34" t="e">
        <f>AND(#REF!,"AAAAAG/7+To=")</f>
        <v>#REF!</v>
      </c>
      <c r="BH78" s="34" t="e">
        <f>AND(#REF!,"AAAAAG/7+Ts=")</f>
        <v>#REF!</v>
      </c>
      <c r="BI78" s="34" t="e">
        <f>AND(#REF!,"AAAAAG/7+Tw=")</f>
        <v>#REF!</v>
      </c>
      <c r="BJ78" s="34" t="e">
        <f>AND(#REF!,"AAAAAG/7+T0=")</f>
        <v>#REF!</v>
      </c>
      <c r="BK78" s="34" t="e">
        <f>AND(#REF!,"AAAAAG/7+T4=")</f>
        <v>#REF!</v>
      </c>
      <c r="BL78" s="34" t="e">
        <f>AND(#REF!,"AAAAAG/7+T8=")</f>
        <v>#REF!</v>
      </c>
      <c r="BM78" s="34" t="e">
        <f>AND(#REF!,"AAAAAG/7+UA=")</f>
        <v>#REF!</v>
      </c>
      <c r="BN78" s="34" t="e">
        <f>AND(#REF!,"AAAAAG/7+UE=")</f>
        <v>#REF!</v>
      </c>
      <c r="BO78" s="34" t="e">
        <f>AND(#REF!,"AAAAAG/7+UI=")</f>
        <v>#REF!</v>
      </c>
      <c r="BP78" s="34" t="e">
        <f>AND(#REF!,"AAAAAG/7+UM=")</f>
        <v>#REF!</v>
      </c>
      <c r="BQ78" s="34" t="e">
        <f>AND(#REF!,"AAAAAG/7+UQ=")</f>
        <v>#REF!</v>
      </c>
      <c r="BR78" s="34" t="e">
        <f>AND(#REF!,"AAAAAG/7+UU=")</f>
        <v>#REF!</v>
      </c>
      <c r="BS78" s="34" t="e">
        <f>AND(#REF!,"AAAAAG/7+UY=")</f>
        <v>#REF!</v>
      </c>
      <c r="BT78" s="34" t="e">
        <f>IF(#REF!,"AAAAAG/7+Uc=",0)</f>
        <v>#REF!</v>
      </c>
      <c r="BU78" s="34" t="e">
        <f>AND(#REF!,"AAAAAG/7+Ug=")</f>
        <v>#REF!</v>
      </c>
      <c r="BV78" s="34" t="e">
        <f>AND(#REF!,"AAAAAG/7+Uk=")</f>
        <v>#REF!</v>
      </c>
      <c r="BW78" s="34" t="e">
        <f>AND(#REF!,"AAAAAG/7+Uo=")</f>
        <v>#REF!</v>
      </c>
      <c r="BX78" s="34" t="e">
        <f>AND(#REF!,"AAAAAG/7+Us=")</f>
        <v>#REF!</v>
      </c>
      <c r="BY78" s="34" t="e">
        <f>AND(#REF!,"AAAAAG/7+Uw=")</f>
        <v>#REF!</v>
      </c>
      <c r="BZ78" s="34" t="e">
        <f>AND(#REF!,"AAAAAG/7+U0=")</f>
        <v>#REF!</v>
      </c>
      <c r="CA78" s="34" t="e">
        <f>AND(#REF!,"AAAAAG/7+U4=")</f>
        <v>#REF!</v>
      </c>
      <c r="CB78" s="34" t="e">
        <f>AND(#REF!,"AAAAAG/7+U8=")</f>
        <v>#REF!</v>
      </c>
      <c r="CC78" s="34" t="e">
        <f>AND(#REF!,"AAAAAG/7+VA=")</f>
        <v>#REF!</v>
      </c>
      <c r="CD78" s="34" t="e">
        <f>AND(#REF!,"AAAAAG/7+VE=")</f>
        <v>#REF!</v>
      </c>
      <c r="CE78" s="34" t="e">
        <f>AND(#REF!,"AAAAAG/7+VI=")</f>
        <v>#REF!</v>
      </c>
      <c r="CF78" s="34" t="e">
        <f>AND(#REF!,"AAAAAG/7+VM=")</f>
        <v>#REF!</v>
      </c>
      <c r="CG78" s="34" t="e">
        <f>AND(#REF!,"AAAAAG/7+VQ=")</f>
        <v>#REF!</v>
      </c>
      <c r="CH78" s="34" t="e">
        <f>AND(#REF!,"AAAAAG/7+VU=")</f>
        <v>#REF!</v>
      </c>
      <c r="CI78" s="34" t="e">
        <f>AND(#REF!,"AAAAAG/7+VY=")</f>
        <v>#REF!</v>
      </c>
      <c r="CJ78" s="34" t="e">
        <f>AND(#REF!,"AAAAAG/7+Vc=")</f>
        <v>#REF!</v>
      </c>
      <c r="CK78" s="34" t="e">
        <f>IF(#REF!,"AAAAAG/7+Vg=",0)</f>
        <v>#REF!</v>
      </c>
      <c r="CL78" s="34" t="e">
        <f>AND(#REF!,"AAAAAG/7+Vk=")</f>
        <v>#REF!</v>
      </c>
      <c r="CM78" s="34" t="e">
        <f>AND(#REF!,"AAAAAG/7+Vo=")</f>
        <v>#REF!</v>
      </c>
      <c r="CN78" s="34" t="e">
        <f>AND(#REF!,"AAAAAG/7+Vs=")</f>
        <v>#REF!</v>
      </c>
      <c r="CO78" s="34" t="e">
        <f>AND(#REF!,"AAAAAG/7+Vw=")</f>
        <v>#REF!</v>
      </c>
      <c r="CP78" s="34" t="e">
        <f>AND(#REF!,"AAAAAG/7+V0=")</f>
        <v>#REF!</v>
      </c>
      <c r="CQ78" s="34" t="e">
        <f>AND(#REF!,"AAAAAG/7+V4=")</f>
        <v>#REF!</v>
      </c>
      <c r="CR78" s="34" t="e">
        <f>AND(#REF!,"AAAAAG/7+V8=")</f>
        <v>#REF!</v>
      </c>
      <c r="CS78" s="34" t="e">
        <f>AND(#REF!,"AAAAAG/7+WA=")</f>
        <v>#REF!</v>
      </c>
      <c r="CT78" s="34" t="e">
        <f>AND(#REF!,"AAAAAG/7+WE=")</f>
        <v>#REF!</v>
      </c>
      <c r="CU78" s="34" t="e">
        <f>AND(#REF!,"AAAAAG/7+WI=")</f>
        <v>#REF!</v>
      </c>
      <c r="CV78" s="34" t="e">
        <f>AND(#REF!,"AAAAAG/7+WM=")</f>
        <v>#REF!</v>
      </c>
      <c r="CW78" s="34" t="e">
        <f>AND(#REF!,"AAAAAG/7+WQ=")</f>
        <v>#REF!</v>
      </c>
      <c r="CX78" s="34" t="e">
        <f>AND(#REF!,"AAAAAG/7+WU=")</f>
        <v>#REF!</v>
      </c>
      <c r="CY78" s="34" t="e">
        <f>AND(#REF!,"AAAAAG/7+WY=")</f>
        <v>#REF!</v>
      </c>
      <c r="CZ78" s="34" t="e">
        <f>AND(#REF!,"AAAAAG/7+Wc=")</f>
        <v>#REF!</v>
      </c>
      <c r="DA78" s="34" t="e">
        <f>AND(#REF!,"AAAAAG/7+Wg=")</f>
        <v>#REF!</v>
      </c>
      <c r="DB78" s="34" t="e">
        <f>IF(#REF!,"AAAAAG/7+Wk=",0)</f>
        <v>#REF!</v>
      </c>
      <c r="DC78" s="34" t="e">
        <f>AND(#REF!,"AAAAAG/7+Wo=")</f>
        <v>#REF!</v>
      </c>
      <c r="DD78" s="34" t="e">
        <f>AND(#REF!,"AAAAAG/7+Ws=")</f>
        <v>#REF!</v>
      </c>
      <c r="DE78" s="34" t="e">
        <f>AND(#REF!,"AAAAAG/7+Ww=")</f>
        <v>#REF!</v>
      </c>
      <c r="DF78" s="34" t="e">
        <f>AND(#REF!,"AAAAAG/7+W0=")</f>
        <v>#REF!</v>
      </c>
      <c r="DG78" s="34" t="e">
        <f>AND(#REF!,"AAAAAG/7+W4=")</f>
        <v>#REF!</v>
      </c>
      <c r="DH78" s="34" t="e">
        <f>AND(#REF!,"AAAAAG/7+W8=")</f>
        <v>#REF!</v>
      </c>
      <c r="DI78" s="34" t="e">
        <f>AND(#REF!,"AAAAAG/7+XA=")</f>
        <v>#REF!</v>
      </c>
      <c r="DJ78" s="34" t="e">
        <f>AND(#REF!,"AAAAAG/7+XE=")</f>
        <v>#REF!</v>
      </c>
      <c r="DK78" s="34" t="e">
        <f>AND(#REF!,"AAAAAG/7+XI=")</f>
        <v>#REF!</v>
      </c>
      <c r="DL78" s="34" t="e">
        <f>AND(#REF!,"AAAAAG/7+XM=")</f>
        <v>#REF!</v>
      </c>
      <c r="DM78" s="34" t="e">
        <f>AND(#REF!,"AAAAAG/7+XQ=")</f>
        <v>#REF!</v>
      </c>
      <c r="DN78" s="34" t="e">
        <f>AND(#REF!,"AAAAAG/7+XU=")</f>
        <v>#REF!</v>
      </c>
      <c r="DO78" s="34" t="e">
        <f>AND(#REF!,"AAAAAG/7+XY=")</f>
        <v>#REF!</v>
      </c>
      <c r="DP78" s="34" t="e">
        <f>AND(#REF!,"AAAAAG/7+Xc=")</f>
        <v>#REF!</v>
      </c>
      <c r="DQ78" s="34" t="e">
        <f>AND(#REF!,"AAAAAG/7+Xg=")</f>
        <v>#REF!</v>
      </c>
      <c r="DR78" s="34" t="e">
        <f>AND(#REF!,"AAAAAG/7+Xk=")</f>
        <v>#REF!</v>
      </c>
      <c r="DS78" s="34" t="e">
        <f>IF(#REF!,"AAAAAG/7+Xo=",0)</f>
        <v>#REF!</v>
      </c>
      <c r="DT78" s="34" t="e">
        <f>AND(#REF!,"AAAAAG/7+Xs=")</f>
        <v>#REF!</v>
      </c>
      <c r="DU78" s="34" t="e">
        <f>AND(#REF!,"AAAAAG/7+Xw=")</f>
        <v>#REF!</v>
      </c>
      <c r="DV78" s="34" t="e">
        <f>AND(#REF!,"AAAAAG/7+X0=")</f>
        <v>#REF!</v>
      </c>
      <c r="DW78" s="34" t="e">
        <f>AND(#REF!,"AAAAAG/7+X4=")</f>
        <v>#REF!</v>
      </c>
      <c r="DX78" s="34" t="e">
        <f>AND(#REF!,"AAAAAG/7+X8=")</f>
        <v>#REF!</v>
      </c>
      <c r="DY78" s="34" t="e">
        <f>AND(#REF!,"AAAAAG/7+YA=")</f>
        <v>#REF!</v>
      </c>
      <c r="DZ78" s="34" t="e">
        <f>AND(#REF!,"AAAAAG/7+YE=")</f>
        <v>#REF!</v>
      </c>
      <c r="EA78" s="34" t="e">
        <f>AND(#REF!,"AAAAAG/7+YI=")</f>
        <v>#REF!</v>
      </c>
      <c r="EB78" s="34" t="e">
        <f>AND(#REF!,"AAAAAG/7+YM=")</f>
        <v>#REF!</v>
      </c>
      <c r="EC78" s="34" t="e">
        <f>AND(#REF!,"AAAAAG/7+YQ=")</f>
        <v>#REF!</v>
      </c>
      <c r="ED78" s="34" t="e">
        <f>AND(#REF!,"AAAAAG/7+YU=")</f>
        <v>#REF!</v>
      </c>
      <c r="EE78" s="34" t="e">
        <f>AND(#REF!,"AAAAAG/7+YY=")</f>
        <v>#REF!</v>
      </c>
      <c r="EF78" s="34" t="e">
        <f>AND(#REF!,"AAAAAG/7+Yc=")</f>
        <v>#REF!</v>
      </c>
      <c r="EG78" s="34" t="e">
        <f>AND(#REF!,"AAAAAG/7+Yg=")</f>
        <v>#REF!</v>
      </c>
      <c r="EH78" s="34" t="e">
        <f>AND(#REF!,"AAAAAG/7+Yk=")</f>
        <v>#REF!</v>
      </c>
      <c r="EI78" s="34" t="e">
        <f>AND(#REF!,"AAAAAG/7+Yo=")</f>
        <v>#REF!</v>
      </c>
      <c r="EJ78" s="34" t="e">
        <f>IF(#REF!,"AAAAAG/7+Ys=",0)</f>
        <v>#REF!</v>
      </c>
      <c r="EK78" s="34" t="e">
        <f>AND(#REF!,"AAAAAG/7+Yw=")</f>
        <v>#REF!</v>
      </c>
      <c r="EL78" s="34" t="e">
        <f>AND(#REF!,"AAAAAG/7+Y0=")</f>
        <v>#REF!</v>
      </c>
      <c r="EM78" s="34" t="e">
        <f>AND(#REF!,"AAAAAG/7+Y4=")</f>
        <v>#REF!</v>
      </c>
      <c r="EN78" s="34" t="e">
        <f>AND(#REF!,"AAAAAG/7+Y8=")</f>
        <v>#REF!</v>
      </c>
      <c r="EO78" s="34" t="e">
        <f>AND(#REF!,"AAAAAG/7+ZA=")</f>
        <v>#REF!</v>
      </c>
      <c r="EP78" s="34" t="e">
        <f>AND(#REF!,"AAAAAG/7+ZE=")</f>
        <v>#REF!</v>
      </c>
      <c r="EQ78" s="34" t="e">
        <f>AND(#REF!,"AAAAAG/7+ZI=")</f>
        <v>#REF!</v>
      </c>
      <c r="ER78" s="34" t="e">
        <f>AND(#REF!,"AAAAAG/7+ZM=")</f>
        <v>#REF!</v>
      </c>
      <c r="ES78" s="34" t="e">
        <f>AND(#REF!,"AAAAAG/7+ZQ=")</f>
        <v>#REF!</v>
      </c>
      <c r="ET78" s="34" t="e">
        <f>AND(#REF!,"AAAAAG/7+ZU=")</f>
        <v>#REF!</v>
      </c>
      <c r="EU78" s="34" t="e">
        <f>AND(#REF!,"AAAAAG/7+ZY=")</f>
        <v>#REF!</v>
      </c>
      <c r="EV78" s="34" t="e">
        <f>AND(#REF!,"AAAAAG/7+Zc=")</f>
        <v>#REF!</v>
      </c>
      <c r="EW78" s="34" t="e">
        <f>AND(#REF!,"AAAAAG/7+Zg=")</f>
        <v>#REF!</v>
      </c>
      <c r="EX78" s="34" t="e">
        <f>AND(#REF!,"AAAAAG/7+Zk=")</f>
        <v>#REF!</v>
      </c>
      <c r="EY78" s="34" t="e">
        <f>AND(#REF!,"AAAAAG/7+Zo=")</f>
        <v>#REF!</v>
      </c>
      <c r="EZ78" s="34" t="e">
        <f>AND(#REF!,"AAAAAG/7+Zs=")</f>
        <v>#REF!</v>
      </c>
      <c r="FA78" s="34" t="e">
        <f>IF(#REF!,"AAAAAG/7+Zw=",0)</f>
        <v>#REF!</v>
      </c>
      <c r="FB78" s="34" t="e">
        <f>AND(#REF!,"AAAAAG/7+Z0=")</f>
        <v>#REF!</v>
      </c>
      <c r="FC78" s="34" t="e">
        <f>AND(#REF!,"AAAAAG/7+Z4=")</f>
        <v>#REF!</v>
      </c>
      <c r="FD78" s="34" t="e">
        <f>AND(#REF!,"AAAAAG/7+Z8=")</f>
        <v>#REF!</v>
      </c>
      <c r="FE78" s="34" t="e">
        <f>AND(#REF!,"AAAAAG/7+aA=")</f>
        <v>#REF!</v>
      </c>
      <c r="FF78" s="34" t="e">
        <f>AND(#REF!,"AAAAAG/7+aE=")</f>
        <v>#REF!</v>
      </c>
      <c r="FG78" s="34" t="e">
        <f>AND(#REF!,"AAAAAG/7+aI=")</f>
        <v>#REF!</v>
      </c>
      <c r="FH78" s="34" t="e">
        <f>AND(#REF!,"AAAAAG/7+aM=")</f>
        <v>#REF!</v>
      </c>
      <c r="FI78" s="34" t="e">
        <f>AND(#REF!,"AAAAAG/7+aQ=")</f>
        <v>#REF!</v>
      </c>
      <c r="FJ78" s="34" t="e">
        <f>AND(#REF!,"AAAAAG/7+aU=")</f>
        <v>#REF!</v>
      </c>
      <c r="FK78" s="34" t="e">
        <f>AND(#REF!,"AAAAAG/7+aY=")</f>
        <v>#REF!</v>
      </c>
      <c r="FL78" s="34" t="e">
        <f>AND(#REF!,"AAAAAG/7+ac=")</f>
        <v>#REF!</v>
      </c>
      <c r="FM78" s="34" t="e">
        <f>AND(#REF!,"AAAAAG/7+ag=")</f>
        <v>#REF!</v>
      </c>
      <c r="FN78" s="34" t="e">
        <f>AND(#REF!,"AAAAAG/7+ak=")</f>
        <v>#REF!</v>
      </c>
      <c r="FO78" s="34" t="e">
        <f>AND(#REF!,"AAAAAG/7+ao=")</f>
        <v>#REF!</v>
      </c>
      <c r="FP78" s="34" t="e">
        <f>AND(#REF!,"AAAAAG/7+as=")</f>
        <v>#REF!</v>
      </c>
      <c r="FQ78" s="34" t="e">
        <f>AND(#REF!,"AAAAAG/7+aw=")</f>
        <v>#REF!</v>
      </c>
      <c r="FR78" s="34" t="e">
        <f>IF(#REF!,"AAAAAG/7+a0=",0)</f>
        <v>#REF!</v>
      </c>
      <c r="FS78" s="34" t="e">
        <f>AND(#REF!,"AAAAAG/7+a4=")</f>
        <v>#REF!</v>
      </c>
      <c r="FT78" s="34" t="e">
        <f>AND(#REF!,"AAAAAG/7+a8=")</f>
        <v>#REF!</v>
      </c>
      <c r="FU78" s="34" t="e">
        <f>AND(#REF!,"AAAAAG/7+bA=")</f>
        <v>#REF!</v>
      </c>
      <c r="FV78" s="34" t="e">
        <f>AND(#REF!,"AAAAAG/7+bE=")</f>
        <v>#REF!</v>
      </c>
      <c r="FW78" s="34" t="e">
        <f>AND(#REF!,"AAAAAG/7+bI=")</f>
        <v>#REF!</v>
      </c>
      <c r="FX78" s="34" t="e">
        <f>AND(#REF!,"AAAAAG/7+bM=")</f>
        <v>#REF!</v>
      </c>
      <c r="FY78" s="34" t="e">
        <f>AND(#REF!,"AAAAAG/7+bQ=")</f>
        <v>#REF!</v>
      </c>
      <c r="FZ78" s="34" t="e">
        <f>AND(#REF!,"AAAAAG/7+bU=")</f>
        <v>#REF!</v>
      </c>
      <c r="GA78" s="34" t="e">
        <f>AND(#REF!,"AAAAAG/7+bY=")</f>
        <v>#REF!</v>
      </c>
      <c r="GB78" s="34" t="e">
        <f>AND(#REF!,"AAAAAG/7+bc=")</f>
        <v>#REF!</v>
      </c>
      <c r="GC78" s="34" t="e">
        <f>AND(#REF!,"AAAAAG/7+bg=")</f>
        <v>#REF!</v>
      </c>
      <c r="GD78" s="34" t="e">
        <f>AND(#REF!,"AAAAAG/7+bk=")</f>
        <v>#REF!</v>
      </c>
      <c r="GE78" s="34" t="e">
        <f>AND(#REF!,"AAAAAG/7+bo=")</f>
        <v>#REF!</v>
      </c>
      <c r="GF78" s="34" t="e">
        <f>AND(#REF!,"AAAAAG/7+bs=")</f>
        <v>#REF!</v>
      </c>
      <c r="GG78" s="34" t="e">
        <f>AND(#REF!,"AAAAAG/7+bw=")</f>
        <v>#REF!</v>
      </c>
      <c r="GH78" s="34" t="e">
        <f>AND(#REF!,"AAAAAG/7+b0=")</f>
        <v>#REF!</v>
      </c>
      <c r="GI78" s="34" t="e">
        <f>IF(#REF!,"AAAAAG/7+b4=",0)</f>
        <v>#REF!</v>
      </c>
      <c r="GJ78" s="34" t="e">
        <f>AND(#REF!,"AAAAAG/7+b8=")</f>
        <v>#REF!</v>
      </c>
      <c r="GK78" s="34" t="e">
        <f>AND(#REF!,"AAAAAG/7+cA=")</f>
        <v>#REF!</v>
      </c>
      <c r="GL78" s="34" t="e">
        <f>AND(#REF!,"AAAAAG/7+cE=")</f>
        <v>#REF!</v>
      </c>
      <c r="GM78" s="34" t="e">
        <f>AND(#REF!,"AAAAAG/7+cI=")</f>
        <v>#REF!</v>
      </c>
      <c r="GN78" s="34" t="e">
        <f>AND(#REF!,"AAAAAG/7+cM=")</f>
        <v>#REF!</v>
      </c>
      <c r="GO78" s="34" t="e">
        <f>AND(#REF!,"AAAAAG/7+cQ=")</f>
        <v>#REF!</v>
      </c>
      <c r="GP78" s="34" t="e">
        <f>AND(#REF!,"AAAAAG/7+cU=")</f>
        <v>#REF!</v>
      </c>
      <c r="GQ78" s="34" t="e">
        <f>AND(#REF!,"AAAAAG/7+cY=")</f>
        <v>#REF!</v>
      </c>
      <c r="GR78" s="34" t="e">
        <f>AND(#REF!,"AAAAAG/7+cc=")</f>
        <v>#REF!</v>
      </c>
      <c r="GS78" s="34" t="e">
        <f>AND(#REF!,"AAAAAG/7+cg=")</f>
        <v>#REF!</v>
      </c>
      <c r="GT78" s="34" t="e">
        <f>AND(#REF!,"AAAAAG/7+ck=")</f>
        <v>#REF!</v>
      </c>
      <c r="GU78" s="34" t="e">
        <f>AND(#REF!,"AAAAAG/7+co=")</f>
        <v>#REF!</v>
      </c>
      <c r="GV78" s="34" t="e">
        <f>AND(#REF!,"AAAAAG/7+cs=")</f>
        <v>#REF!</v>
      </c>
      <c r="GW78" s="34" t="e">
        <f>AND(#REF!,"AAAAAG/7+cw=")</f>
        <v>#REF!</v>
      </c>
      <c r="GX78" s="34" t="e">
        <f>AND(#REF!,"AAAAAG/7+c0=")</f>
        <v>#REF!</v>
      </c>
      <c r="GY78" s="34" t="e">
        <f>AND(#REF!,"AAAAAG/7+c4=")</f>
        <v>#REF!</v>
      </c>
      <c r="GZ78" s="34" t="e">
        <f>IF(#REF!,"AAAAAG/7+c8=",0)</f>
        <v>#REF!</v>
      </c>
      <c r="HA78" s="34" t="e">
        <f>AND(#REF!,"AAAAAG/7+dA=")</f>
        <v>#REF!</v>
      </c>
      <c r="HB78" s="34" t="e">
        <f>AND(#REF!,"AAAAAG/7+dE=")</f>
        <v>#REF!</v>
      </c>
      <c r="HC78" s="34" t="e">
        <f>AND(#REF!,"AAAAAG/7+dI=")</f>
        <v>#REF!</v>
      </c>
      <c r="HD78" s="34" t="e">
        <f>AND(#REF!,"AAAAAG/7+dM=")</f>
        <v>#REF!</v>
      </c>
      <c r="HE78" s="34" t="e">
        <f>AND(#REF!,"AAAAAG/7+dQ=")</f>
        <v>#REF!</v>
      </c>
      <c r="HF78" s="34" t="e">
        <f>AND(#REF!,"AAAAAG/7+dU=")</f>
        <v>#REF!</v>
      </c>
      <c r="HG78" s="34" t="e">
        <f>AND(#REF!,"AAAAAG/7+dY=")</f>
        <v>#REF!</v>
      </c>
      <c r="HH78" s="34" t="e">
        <f>AND(#REF!,"AAAAAG/7+dc=")</f>
        <v>#REF!</v>
      </c>
      <c r="HI78" s="34" t="e">
        <f>AND(#REF!,"AAAAAG/7+dg=")</f>
        <v>#REF!</v>
      </c>
      <c r="HJ78" s="34" t="e">
        <f>AND(#REF!,"AAAAAG/7+dk=")</f>
        <v>#REF!</v>
      </c>
      <c r="HK78" s="34" t="e">
        <f>AND(#REF!,"AAAAAG/7+do=")</f>
        <v>#REF!</v>
      </c>
      <c r="HL78" s="34" t="e">
        <f>AND(#REF!,"AAAAAG/7+ds=")</f>
        <v>#REF!</v>
      </c>
      <c r="HM78" s="34" t="e">
        <f>AND(#REF!,"AAAAAG/7+dw=")</f>
        <v>#REF!</v>
      </c>
      <c r="HN78" s="34" t="e">
        <f>AND(#REF!,"AAAAAG/7+d0=")</f>
        <v>#REF!</v>
      </c>
      <c r="HO78" s="34" t="e">
        <f>AND(#REF!,"AAAAAG/7+d4=")</f>
        <v>#REF!</v>
      </c>
      <c r="HP78" s="34" t="e">
        <f>AND(#REF!,"AAAAAG/7+d8=")</f>
        <v>#REF!</v>
      </c>
      <c r="HQ78" s="34" t="e">
        <f>IF(#REF!,"AAAAAG/7+eA=",0)</f>
        <v>#REF!</v>
      </c>
      <c r="HR78" s="34" t="e">
        <f>AND(#REF!,"AAAAAG/7+eE=")</f>
        <v>#REF!</v>
      </c>
      <c r="HS78" s="34" t="e">
        <f>AND(#REF!,"AAAAAG/7+eI=")</f>
        <v>#REF!</v>
      </c>
      <c r="HT78" s="34" t="e">
        <f>AND(#REF!,"AAAAAG/7+eM=")</f>
        <v>#REF!</v>
      </c>
      <c r="HU78" s="34" t="e">
        <f>AND(#REF!,"AAAAAG/7+eQ=")</f>
        <v>#REF!</v>
      </c>
      <c r="HV78" s="34" t="e">
        <f>AND(#REF!,"AAAAAG/7+eU=")</f>
        <v>#REF!</v>
      </c>
      <c r="HW78" s="34" t="e">
        <f>AND(#REF!,"AAAAAG/7+eY=")</f>
        <v>#REF!</v>
      </c>
      <c r="HX78" s="34" t="e">
        <f>AND(#REF!,"AAAAAG/7+ec=")</f>
        <v>#REF!</v>
      </c>
      <c r="HY78" s="34" t="e">
        <f>AND(#REF!,"AAAAAG/7+eg=")</f>
        <v>#REF!</v>
      </c>
      <c r="HZ78" s="34" t="e">
        <f>AND(#REF!,"AAAAAG/7+ek=")</f>
        <v>#REF!</v>
      </c>
      <c r="IA78" s="34" t="e">
        <f>AND(#REF!,"AAAAAG/7+eo=")</f>
        <v>#REF!</v>
      </c>
      <c r="IB78" s="34" t="e">
        <f>AND(#REF!,"AAAAAG/7+es=")</f>
        <v>#REF!</v>
      </c>
      <c r="IC78" s="34" t="e">
        <f>AND(#REF!,"AAAAAG/7+ew=")</f>
        <v>#REF!</v>
      </c>
      <c r="ID78" s="34" t="e">
        <f>AND(#REF!,"AAAAAG/7+e0=")</f>
        <v>#REF!</v>
      </c>
      <c r="IE78" s="34" t="e">
        <f>AND(#REF!,"AAAAAG/7+e4=")</f>
        <v>#REF!</v>
      </c>
      <c r="IF78" s="34" t="e">
        <f>AND(#REF!,"AAAAAG/7+e8=")</f>
        <v>#REF!</v>
      </c>
      <c r="IG78" s="34" t="e">
        <f>AND(#REF!,"AAAAAG/7+fA=")</f>
        <v>#REF!</v>
      </c>
      <c r="IH78" s="34" t="e">
        <f>IF(#REF!,"AAAAAG/7+fE=",0)</f>
        <v>#REF!</v>
      </c>
      <c r="II78" s="34" t="e">
        <f>AND(#REF!,"AAAAAG/7+fI=")</f>
        <v>#REF!</v>
      </c>
      <c r="IJ78" s="34" t="e">
        <f>AND(#REF!,"AAAAAG/7+fM=")</f>
        <v>#REF!</v>
      </c>
      <c r="IK78" s="34" t="e">
        <f>AND(#REF!,"AAAAAG/7+fQ=")</f>
        <v>#REF!</v>
      </c>
      <c r="IL78" s="34" t="e">
        <f>AND(#REF!,"AAAAAG/7+fU=")</f>
        <v>#REF!</v>
      </c>
      <c r="IM78" s="34" t="e">
        <f>AND(#REF!,"AAAAAG/7+fY=")</f>
        <v>#REF!</v>
      </c>
      <c r="IN78" s="34" t="e">
        <f>AND(#REF!,"AAAAAG/7+fc=")</f>
        <v>#REF!</v>
      </c>
      <c r="IO78" s="34" t="e">
        <f>AND(#REF!,"AAAAAG/7+fg=")</f>
        <v>#REF!</v>
      </c>
      <c r="IP78" s="34" t="e">
        <f>AND(#REF!,"AAAAAG/7+fk=")</f>
        <v>#REF!</v>
      </c>
      <c r="IQ78" s="34" t="e">
        <f>AND(#REF!,"AAAAAG/7+fo=")</f>
        <v>#REF!</v>
      </c>
      <c r="IR78" s="34" t="e">
        <f>AND(#REF!,"AAAAAG/7+fs=")</f>
        <v>#REF!</v>
      </c>
      <c r="IS78" s="34" t="e">
        <f>AND(#REF!,"AAAAAG/7+fw=")</f>
        <v>#REF!</v>
      </c>
      <c r="IT78" s="34" t="e">
        <f>AND(#REF!,"AAAAAG/7+f0=")</f>
        <v>#REF!</v>
      </c>
      <c r="IU78" s="34" t="e">
        <f>AND(#REF!,"AAAAAG/7+f4=")</f>
        <v>#REF!</v>
      </c>
      <c r="IV78" s="34" t="e">
        <f>AND(#REF!,"AAAAAG/7+f8=")</f>
        <v>#REF!</v>
      </c>
    </row>
    <row r="79" spans="1:256" ht="12.75" customHeight="1" x14ac:dyDescent="0.2">
      <c r="A79" s="34" t="e">
        <f>AND(#REF!,"AAAAAD//9wA=")</f>
        <v>#REF!</v>
      </c>
      <c r="B79" s="34" t="e">
        <f>AND(#REF!,"AAAAAD//9wE=")</f>
        <v>#REF!</v>
      </c>
      <c r="C79" s="34" t="e">
        <f>IF(#REF!,"AAAAAD//9wI=",0)</f>
        <v>#REF!</v>
      </c>
      <c r="D79" s="34" t="e">
        <f>AND(#REF!,"AAAAAD//9wM=")</f>
        <v>#REF!</v>
      </c>
      <c r="E79" s="34" t="e">
        <f>AND(#REF!,"AAAAAD//9wQ=")</f>
        <v>#REF!</v>
      </c>
      <c r="F79" s="34" t="e">
        <f>AND(#REF!,"AAAAAD//9wU=")</f>
        <v>#REF!</v>
      </c>
      <c r="G79" s="34" t="e">
        <f>AND(#REF!,"AAAAAD//9wY=")</f>
        <v>#REF!</v>
      </c>
      <c r="H79" s="34" t="e">
        <f>AND(#REF!,"AAAAAD//9wc=")</f>
        <v>#REF!</v>
      </c>
      <c r="I79" s="34" t="e">
        <f>AND(#REF!,"AAAAAD//9wg=")</f>
        <v>#REF!</v>
      </c>
      <c r="J79" s="34" t="e">
        <f>AND(#REF!,"AAAAAD//9wk=")</f>
        <v>#REF!</v>
      </c>
      <c r="K79" s="34" t="e">
        <f>AND(#REF!,"AAAAAD//9wo=")</f>
        <v>#REF!</v>
      </c>
      <c r="L79" s="34" t="e">
        <f>AND(#REF!,"AAAAAD//9ws=")</f>
        <v>#REF!</v>
      </c>
      <c r="M79" s="34" t="e">
        <f>AND(#REF!,"AAAAAD//9ww=")</f>
        <v>#REF!</v>
      </c>
      <c r="N79" s="34" t="e">
        <f>AND(#REF!,"AAAAAD//9w0=")</f>
        <v>#REF!</v>
      </c>
      <c r="O79" s="34" t="e">
        <f>AND(#REF!,"AAAAAD//9w4=")</f>
        <v>#REF!</v>
      </c>
      <c r="P79" s="34" t="e">
        <f>AND(#REF!,"AAAAAD//9w8=")</f>
        <v>#REF!</v>
      </c>
      <c r="Q79" s="34" t="e">
        <f>AND(#REF!,"AAAAAD//9xA=")</f>
        <v>#REF!</v>
      </c>
      <c r="R79" s="34" t="e">
        <f>AND(#REF!,"AAAAAD//9xE=")</f>
        <v>#REF!</v>
      </c>
      <c r="S79" s="34" t="e">
        <f>AND(#REF!,"AAAAAD//9xI=")</f>
        <v>#REF!</v>
      </c>
      <c r="T79" s="34" t="e">
        <f>IF(#REF!,"AAAAAD//9xM=",0)</f>
        <v>#REF!</v>
      </c>
      <c r="U79" s="34" t="e">
        <f>AND(#REF!,"AAAAAD//9xQ=")</f>
        <v>#REF!</v>
      </c>
      <c r="V79" s="34" t="e">
        <f>AND(#REF!,"AAAAAD//9xU=")</f>
        <v>#REF!</v>
      </c>
      <c r="W79" s="34" t="e">
        <f>AND(#REF!,"AAAAAD//9xY=")</f>
        <v>#REF!</v>
      </c>
      <c r="X79" s="34" t="e">
        <f>AND(#REF!,"AAAAAD//9xc=")</f>
        <v>#REF!</v>
      </c>
      <c r="Y79" s="34" t="e">
        <f>AND(#REF!,"AAAAAD//9xg=")</f>
        <v>#REF!</v>
      </c>
      <c r="Z79" s="34" t="e">
        <f>AND(#REF!,"AAAAAD//9xk=")</f>
        <v>#REF!</v>
      </c>
      <c r="AA79" s="34" t="e">
        <f>AND(#REF!,"AAAAAD//9xo=")</f>
        <v>#REF!</v>
      </c>
      <c r="AB79" s="34" t="e">
        <f>AND(#REF!,"AAAAAD//9xs=")</f>
        <v>#REF!</v>
      </c>
      <c r="AC79" s="34" t="e">
        <f>AND(#REF!,"AAAAAD//9xw=")</f>
        <v>#REF!</v>
      </c>
      <c r="AD79" s="34" t="e">
        <f>AND(#REF!,"AAAAAD//9x0=")</f>
        <v>#REF!</v>
      </c>
      <c r="AE79" s="34" t="e">
        <f>AND(#REF!,"AAAAAD//9x4=")</f>
        <v>#REF!</v>
      </c>
      <c r="AF79" s="34" t="e">
        <f>AND(#REF!,"AAAAAD//9x8=")</f>
        <v>#REF!</v>
      </c>
      <c r="AG79" s="34" t="e">
        <f>AND(#REF!,"AAAAAD//9yA=")</f>
        <v>#REF!</v>
      </c>
      <c r="AH79" s="34" t="e">
        <f>AND(#REF!,"AAAAAD//9yE=")</f>
        <v>#REF!</v>
      </c>
      <c r="AI79" s="34" t="e">
        <f>AND(#REF!,"AAAAAD//9yI=")</f>
        <v>#REF!</v>
      </c>
      <c r="AJ79" s="34" t="e">
        <f>AND(#REF!,"AAAAAD//9yM=")</f>
        <v>#REF!</v>
      </c>
      <c r="AK79" s="34" t="e">
        <f>IF(#REF!,"AAAAAD//9yQ=",0)</f>
        <v>#REF!</v>
      </c>
      <c r="AL79" s="34" t="e">
        <f>AND(#REF!,"AAAAAD//9yU=")</f>
        <v>#REF!</v>
      </c>
      <c r="AM79" s="34" t="e">
        <f>AND(#REF!,"AAAAAD//9yY=")</f>
        <v>#REF!</v>
      </c>
      <c r="AN79" s="34" t="e">
        <f>AND(#REF!,"AAAAAD//9yc=")</f>
        <v>#REF!</v>
      </c>
      <c r="AO79" s="34" t="e">
        <f>AND(#REF!,"AAAAAD//9yg=")</f>
        <v>#REF!</v>
      </c>
      <c r="AP79" s="34" t="e">
        <f>AND(#REF!,"AAAAAD//9yk=")</f>
        <v>#REF!</v>
      </c>
      <c r="AQ79" s="34" t="e">
        <f>AND(#REF!,"AAAAAD//9yo=")</f>
        <v>#REF!</v>
      </c>
      <c r="AR79" s="34" t="e">
        <f>AND(#REF!,"AAAAAD//9ys=")</f>
        <v>#REF!</v>
      </c>
      <c r="AS79" s="34" t="e">
        <f>AND(#REF!,"AAAAAD//9yw=")</f>
        <v>#REF!</v>
      </c>
      <c r="AT79" s="34" t="e">
        <f>AND(#REF!,"AAAAAD//9y0=")</f>
        <v>#REF!</v>
      </c>
      <c r="AU79" s="34" t="e">
        <f>AND(#REF!,"AAAAAD//9y4=")</f>
        <v>#REF!</v>
      </c>
      <c r="AV79" s="34" t="e">
        <f>AND(#REF!,"AAAAAD//9y8=")</f>
        <v>#REF!</v>
      </c>
      <c r="AW79" s="34" t="e">
        <f>AND(#REF!,"AAAAAD//9zA=")</f>
        <v>#REF!</v>
      </c>
      <c r="AX79" s="34" t="e">
        <f>AND(#REF!,"AAAAAD//9zE=")</f>
        <v>#REF!</v>
      </c>
      <c r="AY79" s="34" t="e">
        <f>AND(#REF!,"AAAAAD//9zI=")</f>
        <v>#REF!</v>
      </c>
      <c r="AZ79" s="34" t="e">
        <f>AND(#REF!,"AAAAAD//9zM=")</f>
        <v>#REF!</v>
      </c>
      <c r="BA79" s="34" t="e">
        <f>AND(#REF!,"AAAAAD//9zQ=")</f>
        <v>#REF!</v>
      </c>
      <c r="BB79" s="34" t="e">
        <f>IF(#REF!,"AAAAAD//9zU=",0)</f>
        <v>#REF!</v>
      </c>
      <c r="BC79" s="34" t="e">
        <f>AND(#REF!,"AAAAAD//9zY=")</f>
        <v>#REF!</v>
      </c>
      <c r="BD79" s="34" t="e">
        <f>AND(#REF!,"AAAAAD//9zc=")</f>
        <v>#REF!</v>
      </c>
      <c r="BE79" s="34" t="e">
        <f>AND(#REF!,"AAAAAD//9zg=")</f>
        <v>#REF!</v>
      </c>
      <c r="BF79" s="34" t="e">
        <f>AND(#REF!,"AAAAAD//9zk=")</f>
        <v>#REF!</v>
      </c>
      <c r="BG79" s="34" t="e">
        <f>AND(#REF!,"AAAAAD//9zo=")</f>
        <v>#REF!</v>
      </c>
      <c r="BH79" s="34" t="e">
        <f>AND(#REF!,"AAAAAD//9zs=")</f>
        <v>#REF!</v>
      </c>
      <c r="BI79" s="34" t="e">
        <f>AND(#REF!,"AAAAAD//9zw=")</f>
        <v>#REF!</v>
      </c>
      <c r="BJ79" s="34" t="e">
        <f>AND(#REF!,"AAAAAD//9z0=")</f>
        <v>#REF!</v>
      </c>
      <c r="BK79" s="34" t="e">
        <f>AND(#REF!,"AAAAAD//9z4=")</f>
        <v>#REF!</v>
      </c>
      <c r="BL79" s="34" t="e">
        <f>AND(#REF!,"AAAAAD//9z8=")</f>
        <v>#REF!</v>
      </c>
      <c r="BM79" s="34" t="e">
        <f>AND(#REF!,"AAAAAD//90A=")</f>
        <v>#REF!</v>
      </c>
      <c r="BN79" s="34" t="e">
        <f>AND(#REF!,"AAAAAD//90E=")</f>
        <v>#REF!</v>
      </c>
      <c r="BO79" s="34" t="e">
        <f>AND(#REF!,"AAAAAD//90I=")</f>
        <v>#REF!</v>
      </c>
      <c r="BP79" s="34" t="e">
        <f>AND(#REF!,"AAAAAD//90M=")</f>
        <v>#REF!</v>
      </c>
      <c r="BQ79" s="34" t="e">
        <f>AND(#REF!,"AAAAAD//90Q=")</f>
        <v>#REF!</v>
      </c>
      <c r="BR79" s="34" t="e">
        <f>AND(#REF!,"AAAAAD//90U=")</f>
        <v>#REF!</v>
      </c>
      <c r="BS79" s="34" t="e">
        <f>IF(#REF!,"AAAAAD//90Y=",0)</f>
        <v>#REF!</v>
      </c>
      <c r="BT79" s="34" t="e">
        <f>AND(#REF!,"AAAAAD//90c=")</f>
        <v>#REF!</v>
      </c>
      <c r="BU79" s="34" t="e">
        <f>AND(#REF!,"AAAAAD//90g=")</f>
        <v>#REF!</v>
      </c>
      <c r="BV79" s="34" t="e">
        <f>AND(#REF!,"AAAAAD//90k=")</f>
        <v>#REF!</v>
      </c>
      <c r="BW79" s="34" t="e">
        <f>AND(#REF!,"AAAAAD//90o=")</f>
        <v>#REF!</v>
      </c>
      <c r="BX79" s="34" t="e">
        <f>AND(#REF!,"AAAAAD//90s=")</f>
        <v>#REF!</v>
      </c>
      <c r="BY79" s="34" t="e">
        <f>AND(#REF!,"AAAAAD//90w=")</f>
        <v>#REF!</v>
      </c>
      <c r="BZ79" s="34" t="e">
        <f>AND(#REF!,"AAAAAD//900=")</f>
        <v>#REF!</v>
      </c>
      <c r="CA79" s="34" t="e">
        <f>AND(#REF!,"AAAAAD//904=")</f>
        <v>#REF!</v>
      </c>
      <c r="CB79" s="34" t="e">
        <f>AND(#REF!,"AAAAAD//908=")</f>
        <v>#REF!</v>
      </c>
      <c r="CC79" s="34" t="e">
        <f>AND(#REF!,"AAAAAD//91A=")</f>
        <v>#REF!</v>
      </c>
      <c r="CD79" s="34" t="e">
        <f>AND(#REF!,"AAAAAD//91E=")</f>
        <v>#REF!</v>
      </c>
      <c r="CE79" s="34" t="e">
        <f>AND(#REF!,"AAAAAD//91I=")</f>
        <v>#REF!</v>
      </c>
      <c r="CF79" s="34" t="e">
        <f>AND(#REF!,"AAAAAD//91M=")</f>
        <v>#REF!</v>
      </c>
      <c r="CG79" s="34" t="e">
        <f>AND(#REF!,"AAAAAD//91Q=")</f>
        <v>#REF!</v>
      </c>
      <c r="CH79" s="34" t="e">
        <f>AND(#REF!,"AAAAAD//91U=")</f>
        <v>#REF!</v>
      </c>
      <c r="CI79" s="34" t="e">
        <f>AND(#REF!,"AAAAAD//91Y=")</f>
        <v>#REF!</v>
      </c>
      <c r="CJ79" s="34" t="e">
        <f>IF(#REF!,"AAAAAD//91c=",0)</f>
        <v>#REF!</v>
      </c>
      <c r="CK79" s="34" t="e">
        <f>AND(#REF!,"AAAAAD//91g=")</f>
        <v>#REF!</v>
      </c>
      <c r="CL79" s="34" t="e">
        <f>AND(#REF!,"AAAAAD//91k=")</f>
        <v>#REF!</v>
      </c>
      <c r="CM79" s="34" t="e">
        <f>AND(#REF!,"AAAAAD//91o=")</f>
        <v>#REF!</v>
      </c>
      <c r="CN79" s="34" t="e">
        <f>AND(#REF!,"AAAAAD//91s=")</f>
        <v>#REF!</v>
      </c>
      <c r="CO79" s="34" t="e">
        <f>AND(#REF!,"AAAAAD//91w=")</f>
        <v>#REF!</v>
      </c>
      <c r="CP79" s="34" t="e">
        <f>AND(#REF!,"AAAAAD//910=")</f>
        <v>#REF!</v>
      </c>
      <c r="CQ79" s="34" t="e">
        <f>AND(#REF!,"AAAAAD//914=")</f>
        <v>#REF!</v>
      </c>
      <c r="CR79" s="34" t="e">
        <f>AND(#REF!,"AAAAAD//918=")</f>
        <v>#REF!</v>
      </c>
      <c r="CS79" s="34" t="e">
        <f>AND(#REF!,"AAAAAD//92A=")</f>
        <v>#REF!</v>
      </c>
      <c r="CT79" s="34" t="e">
        <f>AND(#REF!,"AAAAAD//92E=")</f>
        <v>#REF!</v>
      </c>
      <c r="CU79" s="34" t="e">
        <f>AND(#REF!,"AAAAAD//92I=")</f>
        <v>#REF!</v>
      </c>
      <c r="CV79" s="34" t="e">
        <f>AND(#REF!,"AAAAAD//92M=")</f>
        <v>#REF!</v>
      </c>
      <c r="CW79" s="34" t="e">
        <f>AND(#REF!,"AAAAAD//92Q=")</f>
        <v>#REF!</v>
      </c>
      <c r="CX79" s="34" t="e">
        <f>AND(#REF!,"AAAAAD//92U=")</f>
        <v>#REF!</v>
      </c>
      <c r="CY79" s="34" t="e">
        <f>AND(#REF!,"AAAAAD//92Y=")</f>
        <v>#REF!</v>
      </c>
      <c r="CZ79" s="34" t="e">
        <f>AND(#REF!,"AAAAAD//92c=")</f>
        <v>#REF!</v>
      </c>
      <c r="DA79" s="34" t="e">
        <f>IF(#REF!,"AAAAAD//92g=",0)</f>
        <v>#REF!</v>
      </c>
      <c r="DB79" s="34" t="e">
        <f>AND(#REF!,"AAAAAD//92k=")</f>
        <v>#REF!</v>
      </c>
      <c r="DC79" s="34" t="e">
        <f>AND(#REF!,"AAAAAD//92o=")</f>
        <v>#REF!</v>
      </c>
      <c r="DD79" s="34" t="e">
        <f>AND(#REF!,"AAAAAD//92s=")</f>
        <v>#REF!</v>
      </c>
      <c r="DE79" s="34" t="e">
        <f>AND(#REF!,"AAAAAD//92w=")</f>
        <v>#REF!</v>
      </c>
      <c r="DF79" s="34" t="e">
        <f>AND(#REF!,"AAAAAD//920=")</f>
        <v>#REF!</v>
      </c>
      <c r="DG79" s="34" t="e">
        <f>AND(#REF!,"AAAAAD//924=")</f>
        <v>#REF!</v>
      </c>
      <c r="DH79" s="34" t="e">
        <f>AND(#REF!,"AAAAAD//928=")</f>
        <v>#REF!</v>
      </c>
      <c r="DI79" s="34" t="e">
        <f>AND(#REF!,"AAAAAD//93A=")</f>
        <v>#REF!</v>
      </c>
      <c r="DJ79" s="34" t="e">
        <f>AND(#REF!,"AAAAAD//93E=")</f>
        <v>#REF!</v>
      </c>
      <c r="DK79" s="34" t="e">
        <f>AND(#REF!,"AAAAAD//93I=")</f>
        <v>#REF!</v>
      </c>
      <c r="DL79" s="34" t="e">
        <f>AND(#REF!,"AAAAAD//93M=")</f>
        <v>#REF!</v>
      </c>
      <c r="DM79" s="34" t="e">
        <f>AND(#REF!,"AAAAAD//93Q=")</f>
        <v>#REF!</v>
      </c>
      <c r="DN79" s="34" t="e">
        <f>AND(#REF!,"AAAAAD//93U=")</f>
        <v>#REF!</v>
      </c>
      <c r="DO79" s="34" t="e">
        <f>AND(#REF!,"AAAAAD//93Y=")</f>
        <v>#REF!</v>
      </c>
      <c r="DP79" s="34" t="e">
        <f>AND(#REF!,"AAAAAD//93c=")</f>
        <v>#REF!</v>
      </c>
      <c r="DQ79" s="34" t="e">
        <f>AND(#REF!,"AAAAAD//93g=")</f>
        <v>#REF!</v>
      </c>
      <c r="DR79" s="34" t="e">
        <f>IF(#REF!,"AAAAAD//93k=",0)</f>
        <v>#REF!</v>
      </c>
      <c r="DS79" s="34" t="e">
        <f>AND(#REF!,"AAAAAD//93o=")</f>
        <v>#REF!</v>
      </c>
      <c r="DT79" s="34" t="e">
        <f>AND(#REF!,"AAAAAD//93s=")</f>
        <v>#REF!</v>
      </c>
      <c r="DU79" s="34" t="e">
        <f>AND(#REF!,"AAAAAD//93w=")</f>
        <v>#REF!</v>
      </c>
      <c r="DV79" s="34" t="e">
        <f>AND(#REF!,"AAAAAD//930=")</f>
        <v>#REF!</v>
      </c>
      <c r="DW79" s="34" t="e">
        <f>AND(#REF!,"AAAAAD//934=")</f>
        <v>#REF!</v>
      </c>
      <c r="DX79" s="34" t="e">
        <f>AND(#REF!,"AAAAAD//938=")</f>
        <v>#REF!</v>
      </c>
      <c r="DY79" s="34" t="e">
        <f>AND(#REF!,"AAAAAD//94A=")</f>
        <v>#REF!</v>
      </c>
      <c r="DZ79" s="34" t="e">
        <f>AND(#REF!,"AAAAAD//94E=")</f>
        <v>#REF!</v>
      </c>
      <c r="EA79" s="34" t="e">
        <f>AND(#REF!,"AAAAAD//94I=")</f>
        <v>#REF!</v>
      </c>
      <c r="EB79" s="34" t="e">
        <f>AND(#REF!,"AAAAAD//94M=")</f>
        <v>#REF!</v>
      </c>
      <c r="EC79" s="34" t="e">
        <f>AND(#REF!,"AAAAAD//94Q=")</f>
        <v>#REF!</v>
      </c>
      <c r="ED79" s="34" t="e">
        <f>AND(#REF!,"AAAAAD//94U=")</f>
        <v>#REF!</v>
      </c>
      <c r="EE79" s="34" t="e">
        <f>AND(#REF!,"AAAAAD//94Y=")</f>
        <v>#REF!</v>
      </c>
      <c r="EF79" s="34" t="e">
        <f>AND(#REF!,"AAAAAD//94c=")</f>
        <v>#REF!</v>
      </c>
      <c r="EG79" s="34" t="e">
        <f>AND(#REF!,"AAAAAD//94g=")</f>
        <v>#REF!</v>
      </c>
      <c r="EH79" s="34" t="e">
        <f>AND(#REF!,"AAAAAD//94k=")</f>
        <v>#REF!</v>
      </c>
      <c r="EI79" s="34" t="e">
        <f>IF(#REF!,"AAAAAD//94o=",0)</f>
        <v>#REF!</v>
      </c>
      <c r="EJ79" s="34" t="e">
        <f>AND(#REF!,"AAAAAD//94s=")</f>
        <v>#REF!</v>
      </c>
      <c r="EK79" s="34" t="e">
        <f>AND(#REF!,"AAAAAD//94w=")</f>
        <v>#REF!</v>
      </c>
      <c r="EL79" s="34" t="e">
        <f>AND(#REF!,"AAAAAD//940=")</f>
        <v>#REF!</v>
      </c>
      <c r="EM79" s="34" t="e">
        <f>AND(#REF!,"AAAAAD//944=")</f>
        <v>#REF!</v>
      </c>
      <c r="EN79" s="34" t="e">
        <f>AND(#REF!,"AAAAAD//948=")</f>
        <v>#REF!</v>
      </c>
      <c r="EO79" s="34" t="e">
        <f>AND(#REF!,"AAAAAD//95A=")</f>
        <v>#REF!</v>
      </c>
      <c r="EP79" s="34" t="e">
        <f>AND(#REF!,"AAAAAD//95E=")</f>
        <v>#REF!</v>
      </c>
      <c r="EQ79" s="34" t="e">
        <f>AND(#REF!,"AAAAAD//95I=")</f>
        <v>#REF!</v>
      </c>
      <c r="ER79" s="34" t="e">
        <f>AND(#REF!,"AAAAAD//95M=")</f>
        <v>#REF!</v>
      </c>
      <c r="ES79" s="34" t="e">
        <f>AND(#REF!,"AAAAAD//95Q=")</f>
        <v>#REF!</v>
      </c>
      <c r="ET79" s="34" t="e">
        <f>AND(#REF!,"AAAAAD//95U=")</f>
        <v>#REF!</v>
      </c>
      <c r="EU79" s="34" t="e">
        <f>AND(#REF!,"AAAAAD//95Y=")</f>
        <v>#REF!</v>
      </c>
      <c r="EV79" s="34" t="e">
        <f>AND(#REF!,"AAAAAD//95c=")</f>
        <v>#REF!</v>
      </c>
      <c r="EW79" s="34" t="e">
        <f>AND(#REF!,"AAAAAD//95g=")</f>
        <v>#REF!</v>
      </c>
      <c r="EX79" s="34" t="e">
        <f>AND(#REF!,"AAAAAD//95k=")</f>
        <v>#REF!</v>
      </c>
      <c r="EY79" s="34" t="e">
        <f>AND(#REF!,"AAAAAD//95o=")</f>
        <v>#REF!</v>
      </c>
      <c r="EZ79" s="34" t="e">
        <f>IF(#REF!,"AAAAAD//95s=",0)</f>
        <v>#REF!</v>
      </c>
      <c r="FA79" s="34" t="e">
        <f>AND(#REF!,"AAAAAD//95w=")</f>
        <v>#REF!</v>
      </c>
      <c r="FB79" s="34" t="e">
        <f>AND(#REF!,"AAAAAD//950=")</f>
        <v>#REF!</v>
      </c>
      <c r="FC79" s="34" t="e">
        <f>AND(#REF!,"AAAAAD//954=")</f>
        <v>#REF!</v>
      </c>
      <c r="FD79" s="34" t="e">
        <f>AND(#REF!,"AAAAAD//958=")</f>
        <v>#REF!</v>
      </c>
      <c r="FE79" s="34" t="e">
        <f>AND(#REF!,"AAAAAD//96A=")</f>
        <v>#REF!</v>
      </c>
      <c r="FF79" s="34" t="e">
        <f>AND(#REF!,"AAAAAD//96E=")</f>
        <v>#REF!</v>
      </c>
      <c r="FG79" s="34" t="e">
        <f>AND(#REF!,"AAAAAD//96I=")</f>
        <v>#REF!</v>
      </c>
      <c r="FH79" s="34" t="e">
        <f>AND(#REF!,"AAAAAD//96M=")</f>
        <v>#REF!</v>
      </c>
      <c r="FI79" s="34" t="e">
        <f>AND(#REF!,"AAAAAD//96Q=")</f>
        <v>#REF!</v>
      </c>
      <c r="FJ79" s="34" t="e">
        <f>AND(#REF!,"AAAAAD//96U=")</f>
        <v>#REF!</v>
      </c>
      <c r="FK79" s="34" t="e">
        <f>AND(#REF!,"AAAAAD//96Y=")</f>
        <v>#REF!</v>
      </c>
      <c r="FL79" s="34" t="e">
        <f>AND(#REF!,"AAAAAD//96c=")</f>
        <v>#REF!</v>
      </c>
      <c r="FM79" s="34" t="e">
        <f>AND(#REF!,"AAAAAD//96g=")</f>
        <v>#REF!</v>
      </c>
      <c r="FN79" s="34" t="e">
        <f>AND(#REF!,"AAAAAD//96k=")</f>
        <v>#REF!</v>
      </c>
      <c r="FO79" s="34" t="e">
        <f>AND(#REF!,"AAAAAD//96o=")</f>
        <v>#REF!</v>
      </c>
      <c r="FP79" s="34" t="e">
        <f>AND(#REF!,"AAAAAD//96s=")</f>
        <v>#REF!</v>
      </c>
      <c r="FQ79" s="34" t="e">
        <f>IF(#REF!,"AAAAAD//96w=",0)</f>
        <v>#REF!</v>
      </c>
      <c r="FR79" s="34" t="e">
        <f>AND(#REF!,"AAAAAD//960=")</f>
        <v>#REF!</v>
      </c>
      <c r="FS79" s="34" t="e">
        <f>AND(#REF!,"AAAAAD//964=")</f>
        <v>#REF!</v>
      </c>
      <c r="FT79" s="34" t="e">
        <f>AND(#REF!,"AAAAAD//968=")</f>
        <v>#REF!</v>
      </c>
      <c r="FU79" s="34" t="e">
        <f>AND(#REF!,"AAAAAD//97A=")</f>
        <v>#REF!</v>
      </c>
      <c r="FV79" s="34" t="e">
        <f>AND(#REF!,"AAAAAD//97E=")</f>
        <v>#REF!</v>
      </c>
      <c r="FW79" s="34" t="e">
        <f>AND(#REF!,"AAAAAD//97I=")</f>
        <v>#REF!</v>
      </c>
      <c r="FX79" s="34" t="e">
        <f>AND(#REF!,"AAAAAD//97M=")</f>
        <v>#REF!</v>
      </c>
      <c r="FY79" s="34" t="e">
        <f>AND(#REF!,"AAAAAD//97Q=")</f>
        <v>#REF!</v>
      </c>
      <c r="FZ79" s="34" t="e">
        <f>AND(#REF!,"AAAAAD//97U=")</f>
        <v>#REF!</v>
      </c>
      <c r="GA79" s="34" t="e">
        <f>AND(#REF!,"AAAAAD//97Y=")</f>
        <v>#REF!</v>
      </c>
      <c r="GB79" s="34" t="e">
        <f>AND(#REF!,"AAAAAD//97c=")</f>
        <v>#REF!</v>
      </c>
      <c r="GC79" s="34" t="e">
        <f>AND(#REF!,"AAAAAD//97g=")</f>
        <v>#REF!</v>
      </c>
      <c r="GD79" s="34" t="e">
        <f>AND(#REF!,"AAAAAD//97k=")</f>
        <v>#REF!</v>
      </c>
      <c r="GE79" s="34" t="e">
        <f>AND(#REF!,"AAAAAD//97o=")</f>
        <v>#REF!</v>
      </c>
      <c r="GF79" s="34" t="e">
        <f>AND(#REF!,"AAAAAD//97s=")</f>
        <v>#REF!</v>
      </c>
      <c r="GG79" s="34" t="e">
        <f>AND(#REF!,"AAAAAD//97w=")</f>
        <v>#REF!</v>
      </c>
      <c r="GH79" s="34" t="e">
        <f>IF(#REF!,"AAAAAD//970=",0)</f>
        <v>#REF!</v>
      </c>
      <c r="GI79" s="34" t="e">
        <f>AND(#REF!,"AAAAAD//974=")</f>
        <v>#REF!</v>
      </c>
      <c r="GJ79" s="34" t="e">
        <f>AND(#REF!,"AAAAAD//978=")</f>
        <v>#REF!</v>
      </c>
      <c r="GK79" s="34" t="e">
        <f>AND(#REF!,"AAAAAD//98A=")</f>
        <v>#REF!</v>
      </c>
      <c r="GL79" s="34" t="e">
        <f>AND(#REF!,"AAAAAD//98E=")</f>
        <v>#REF!</v>
      </c>
      <c r="GM79" s="34" t="e">
        <f>AND(#REF!,"AAAAAD//98I=")</f>
        <v>#REF!</v>
      </c>
      <c r="GN79" s="34" t="e">
        <f>AND(#REF!,"AAAAAD//98M=")</f>
        <v>#REF!</v>
      </c>
      <c r="GO79" s="34" t="e">
        <f>AND(#REF!,"AAAAAD//98Q=")</f>
        <v>#REF!</v>
      </c>
      <c r="GP79" s="34" t="e">
        <f>AND(#REF!,"AAAAAD//98U=")</f>
        <v>#REF!</v>
      </c>
      <c r="GQ79" s="34" t="e">
        <f>AND(#REF!,"AAAAAD//98Y=")</f>
        <v>#REF!</v>
      </c>
      <c r="GR79" s="34" t="e">
        <f>AND(#REF!,"AAAAAD//98c=")</f>
        <v>#REF!</v>
      </c>
      <c r="GS79" s="34" t="e">
        <f>AND(#REF!,"AAAAAD//98g=")</f>
        <v>#REF!</v>
      </c>
      <c r="GT79" s="34" t="e">
        <f>AND(#REF!,"AAAAAD//98k=")</f>
        <v>#REF!</v>
      </c>
      <c r="GU79" s="34" t="e">
        <f>AND(#REF!,"AAAAAD//98o=")</f>
        <v>#REF!</v>
      </c>
      <c r="GV79" s="34" t="e">
        <f>AND(#REF!,"AAAAAD//98s=")</f>
        <v>#REF!</v>
      </c>
      <c r="GW79" s="34" t="e">
        <f>AND(#REF!,"AAAAAD//98w=")</f>
        <v>#REF!</v>
      </c>
      <c r="GX79" s="34" t="e">
        <f>AND(#REF!,"AAAAAD//980=")</f>
        <v>#REF!</v>
      </c>
      <c r="GY79" s="34" t="e">
        <f>IF(#REF!,"AAAAAD//984=",0)</f>
        <v>#REF!</v>
      </c>
      <c r="GZ79" s="34" t="e">
        <f>AND(#REF!,"AAAAAD//988=")</f>
        <v>#REF!</v>
      </c>
      <c r="HA79" s="34" t="e">
        <f>AND(#REF!,"AAAAAD//99A=")</f>
        <v>#REF!</v>
      </c>
      <c r="HB79" s="34" t="e">
        <f>AND(#REF!,"AAAAAD//99E=")</f>
        <v>#REF!</v>
      </c>
      <c r="HC79" s="34" t="e">
        <f>AND(#REF!,"AAAAAD//99I=")</f>
        <v>#REF!</v>
      </c>
      <c r="HD79" s="34" t="e">
        <f>AND(#REF!,"AAAAAD//99M=")</f>
        <v>#REF!</v>
      </c>
      <c r="HE79" s="34" t="e">
        <f>AND(#REF!,"AAAAAD//99Q=")</f>
        <v>#REF!</v>
      </c>
      <c r="HF79" s="34" t="e">
        <f>AND(#REF!,"AAAAAD//99U=")</f>
        <v>#REF!</v>
      </c>
      <c r="HG79" s="34" t="e">
        <f>AND(#REF!,"AAAAAD//99Y=")</f>
        <v>#REF!</v>
      </c>
      <c r="HH79" s="34" t="e">
        <f>AND(#REF!,"AAAAAD//99c=")</f>
        <v>#REF!</v>
      </c>
      <c r="HI79" s="34" t="e">
        <f>AND(#REF!,"AAAAAD//99g=")</f>
        <v>#REF!</v>
      </c>
      <c r="HJ79" s="34" t="e">
        <f>AND(#REF!,"AAAAAD//99k=")</f>
        <v>#REF!</v>
      </c>
      <c r="HK79" s="34" t="e">
        <f>AND(#REF!,"AAAAAD//99o=")</f>
        <v>#REF!</v>
      </c>
      <c r="HL79" s="34" t="e">
        <f>AND(#REF!,"AAAAAD//99s=")</f>
        <v>#REF!</v>
      </c>
      <c r="HM79" s="34" t="e">
        <f>AND(#REF!,"AAAAAD//99w=")</f>
        <v>#REF!</v>
      </c>
      <c r="HN79" s="34" t="e">
        <f>AND(#REF!,"AAAAAD//990=")</f>
        <v>#REF!</v>
      </c>
      <c r="HO79" s="34" t="e">
        <f>AND(#REF!,"AAAAAD//994=")</f>
        <v>#REF!</v>
      </c>
      <c r="HP79" s="34" t="e">
        <f>IF(#REF!,"AAAAAD//998=",0)</f>
        <v>#REF!</v>
      </c>
      <c r="HQ79" s="34" t="e">
        <f>AND(#REF!,"AAAAAD//9+A=")</f>
        <v>#REF!</v>
      </c>
      <c r="HR79" s="34" t="e">
        <f>AND(#REF!,"AAAAAD//9+E=")</f>
        <v>#REF!</v>
      </c>
      <c r="HS79" s="34" t="e">
        <f>AND(#REF!,"AAAAAD//9+I=")</f>
        <v>#REF!</v>
      </c>
      <c r="HT79" s="34" t="e">
        <f>AND(#REF!,"AAAAAD//9+M=")</f>
        <v>#REF!</v>
      </c>
      <c r="HU79" s="34" t="e">
        <f>AND(#REF!,"AAAAAD//9+Q=")</f>
        <v>#REF!</v>
      </c>
      <c r="HV79" s="34" t="e">
        <f>AND(#REF!,"AAAAAD//9+U=")</f>
        <v>#REF!</v>
      </c>
      <c r="HW79" s="34" t="e">
        <f>AND(#REF!,"AAAAAD//9+Y=")</f>
        <v>#REF!</v>
      </c>
      <c r="HX79" s="34" t="e">
        <f>AND(#REF!,"AAAAAD//9+c=")</f>
        <v>#REF!</v>
      </c>
      <c r="HY79" s="34" t="e">
        <f>AND(#REF!,"AAAAAD//9+g=")</f>
        <v>#REF!</v>
      </c>
      <c r="HZ79" s="34" t="e">
        <f>AND(#REF!,"AAAAAD//9+k=")</f>
        <v>#REF!</v>
      </c>
      <c r="IA79" s="34" t="e">
        <f>AND(#REF!,"AAAAAD//9+o=")</f>
        <v>#REF!</v>
      </c>
      <c r="IB79" s="34" t="e">
        <f>AND(#REF!,"AAAAAD//9+s=")</f>
        <v>#REF!</v>
      </c>
      <c r="IC79" s="34" t="e">
        <f>AND(#REF!,"AAAAAD//9+w=")</f>
        <v>#REF!</v>
      </c>
      <c r="ID79" s="34" t="e">
        <f>AND(#REF!,"AAAAAD//9+0=")</f>
        <v>#REF!</v>
      </c>
      <c r="IE79" s="34" t="e">
        <f>AND(#REF!,"AAAAAD//9+4=")</f>
        <v>#REF!</v>
      </c>
      <c r="IF79" s="34" t="e">
        <f>AND(#REF!,"AAAAAD//9+8=")</f>
        <v>#REF!</v>
      </c>
      <c r="IG79" s="34" t="e">
        <f>IF(#REF!,"AAAAAD//9/A=",0)</f>
        <v>#REF!</v>
      </c>
      <c r="IH79" s="34" t="e">
        <f>AND(#REF!,"AAAAAD//9/E=")</f>
        <v>#REF!</v>
      </c>
      <c r="II79" s="34" t="e">
        <f>AND(#REF!,"AAAAAD//9/I=")</f>
        <v>#REF!</v>
      </c>
      <c r="IJ79" s="34" t="e">
        <f>AND(#REF!,"AAAAAD//9/M=")</f>
        <v>#REF!</v>
      </c>
      <c r="IK79" s="34" t="e">
        <f>AND(#REF!,"AAAAAD//9/Q=")</f>
        <v>#REF!</v>
      </c>
      <c r="IL79" s="34" t="e">
        <f>AND(#REF!,"AAAAAD//9/U=")</f>
        <v>#REF!</v>
      </c>
      <c r="IM79" s="34" t="e">
        <f>AND(#REF!,"AAAAAD//9/Y=")</f>
        <v>#REF!</v>
      </c>
      <c r="IN79" s="34" t="e">
        <f>AND(#REF!,"AAAAAD//9/c=")</f>
        <v>#REF!</v>
      </c>
      <c r="IO79" s="34" t="e">
        <f>AND(#REF!,"AAAAAD//9/g=")</f>
        <v>#REF!</v>
      </c>
      <c r="IP79" s="34" t="e">
        <f>AND(#REF!,"AAAAAD//9/k=")</f>
        <v>#REF!</v>
      </c>
      <c r="IQ79" s="34" t="e">
        <f>AND(#REF!,"AAAAAD//9/o=")</f>
        <v>#REF!</v>
      </c>
      <c r="IR79" s="34" t="e">
        <f>AND(#REF!,"AAAAAD//9/s=")</f>
        <v>#REF!</v>
      </c>
      <c r="IS79" s="34" t="e">
        <f>AND(#REF!,"AAAAAD//9/w=")</f>
        <v>#REF!</v>
      </c>
      <c r="IT79" s="34" t="e">
        <f>AND(#REF!,"AAAAAD//9/0=")</f>
        <v>#REF!</v>
      </c>
      <c r="IU79" s="34" t="e">
        <f>AND(#REF!,"AAAAAD//9/4=")</f>
        <v>#REF!</v>
      </c>
      <c r="IV79" s="34" t="e">
        <f>AND(#REF!,"AAAAAD//9/8=")</f>
        <v>#REF!</v>
      </c>
    </row>
    <row r="80" spans="1:256" ht="12.75" customHeight="1" x14ac:dyDescent="0.2">
      <c r="A80" s="34" t="e">
        <f>AND(#REF!,"AAAAADV/5wA=")</f>
        <v>#REF!</v>
      </c>
      <c r="B80" s="34" t="e">
        <f>IF(#REF!,"AAAAADV/5wE=",0)</f>
        <v>#REF!</v>
      </c>
      <c r="C80" s="34" t="e">
        <f>AND(#REF!,"AAAAADV/5wI=")</f>
        <v>#REF!</v>
      </c>
      <c r="D80" s="34" t="e">
        <f>AND(#REF!,"AAAAADV/5wM=")</f>
        <v>#REF!</v>
      </c>
      <c r="E80" s="34" t="e">
        <f>AND(#REF!,"AAAAADV/5wQ=")</f>
        <v>#REF!</v>
      </c>
      <c r="F80" s="34" t="e">
        <f>AND(#REF!,"AAAAADV/5wU=")</f>
        <v>#REF!</v>
      </c>
      <c r="G80" s="34" t="e">
        <f>AND(#REF!,"AAAAADV/5wY=")</f>
        <v>#REF!</v>
      </c>
      <c r="H80" s="34" t="e">
        <f>AND(#REF!,"AAAAADV/5wc=")</f>
        <v>#REF!</v>
      </c>
      <c r="I80" s="34" t="e">
        <f>AND(#REF!,"AAAAADV/5wg=")</f>
        <v>#REF!</v>
      </c>
      <c r="J80" s="34" t="e">
        <f>AND(#REF!,"AAAAADV/5wk=")</f>
        <v>#REF!</v>
      </c>
      <c r="K80" s="34" t="e">
        <f>AND(#REF!,"AAAAADV/5wo=")</f>
        <v>#REF!</v>
      </c>
      <c r="L80" s="34" t="e">
        <f>AND(#REF!,"AAAAADV/5ws=")</f>
        <v>#REF!</v>
      </c>
      <c r="M80" s="34" t="e">
        <f>AND(#REF!,"AAAAADV/5ww=")</f>
        <v>#REF!</v>
      </c>
      <c r="N80" s="34" t="e">
        <f>AND(#REF!,"AAAAADV/5w0=")</f>
        <v>#REF!</v>
      </c>
      <c r="O80" s="34" t="e">
        <f>AND(#REF!,"AAAAADV/5w4=")</f>
        <v>#REF!</v>
      </c>
      <c r="P80" s="34" t="e">
        <f>AND(#REF!,"AAAAADV/5w8=")</f>
        <v>#REF!</v>
      </c>
      <c r="Q80" s="34" t="e">
        <f>AND(#REF!,"AAAAADV/5xA=")</f>
        <v>#REF!</v>
      </c>
      <c r="R80" s="34" t="e">
        <f>AND(#REF!,"AAAAADV/5xE=")</f>
        <v>#REF!</v>
      </c>
      <c r="S80" s="34" t="e">
        <f>IF(#REF!,"AAAAADV/5xI=",0)</f>
        <v>#REF!</v>
      </c>
      <c r="T80" s="34" t="e">
        <f>AND(#REF!,"AAAAADV/5xM=")</f>
        <v>#REF!</v>
      </c>
      <c r="U80" s="34" t="e">
        <f>AND(#REF!,"AAAAADV/5xQ=")</f>
        <v>#REF!</v>
      </c>
      <c r="V80" s="34" t="e">
        <f>AND(#REF!,"AAAAADV/5xU=")</f>
        <v>#REF!</v>
      </c>
      <c r="W80" s="34" t="e">
        <f>AND(#REF!,"AAAAADV/5xY=")</f>
        <v>#REF!</v>
      </c>
      <c r="X80" s="34" t="e">
        <f>AND(#REF!,"AAAAADV/5xc=")</f>
        <v>#REF!</v>
      </c>
      <c r="Y80" s="34" t="e">
        <f>AND(#REF!,"AAAAADV/5xg=")</f>
        <v>#REF!</v>
      </c>
      <c r="Z80" s="34" t="e">
        <f>AND(#REF!,"AAAAADV/5xk=")</f>
        <v>#REF!</v>
      </c>
      <c r="AA80" s="34" t="e">
        <f>AND(#REF!,"AAAAADV/5xo=")</f>
        <v>#REF!</v>
      </c>
      <c r="AB80" s="34" t="e">
        <f>AND(#REF!,"AAAAADV/5xs=")</f>
        <v>#REF!</v>
      </c>
      <c r="AC80" s="34" t="e">
        <f>AND(#REF!,"AAAAADV/5xw=")</f>
        <v>#REF!</v>
      </c>
      <c r="AD80" s="34" t="e">
        <f>AND(#REF!,"AAAAADV/5x0=")</f>
        <v>#REF!</v>
      </c>
      <c r="AE80" s="34" t="e">
        <f>AND(#REF!,"AAAAADV/5x4=")</f>
        <v>#REF!</v>
      </c>
      <c r="AF80" s="34" t="e">
        <f>AND(#REF!,"AAAAADV/5x8=")</f>
        <v>#REF!</v>
      </c>
      <c r="AG80" s="34" t="e">
        <f>AND(#REF!,"AAAAADV/5yA=")</f>
        <v>#REF!</v>
      </c>
      <c r="AH80" s="34" t="e">
        <f>AND(#REF!,"AAAAADV/5yE=")</f>
        <v>#REF!</v>
      </c>
      <c r="AI80" s="34" t="e">
        <f>AND(#REF!,"AAAAADV/5yI=")</f>
        <v>#REF!</v>
      </c>
      <c r="AJ80" s="34" t="e">
        <f>IF(#REF!,"AAAAADV/5yM=",0)</f>
        <v>#REF!</v>
      </c>
      <c r="AK80" s="34" t="e">
        <f>AND(#REF!,"AAAAADV/5yQ=")</f>
        <v>#REF!</v>
      </c>
      <c r="AL80" s="34" t="e">
        <f>AND(#REF!,"AAAAADV/5yU=")</f>
        <v>#REF!</v>
      </c>
      <c r="AM80" s="34" t="e">
        <f>AND(#REF!,"AAAAADV/5yY=")</f>
        <v>#REF!</v>
      </c>
      <c r="AN80" s="34" t="e">
        <f>AND(#REF!,"AAAAADV/5yc=")</f>
        <v>#REF!</v>
      </c>
      <c r="AO80" s="34" t="e">
        <f>AND(#REF!,"AAAAADV/5yg=")</f>
        <v>#REF!</v>
      </c>
      <c r="AP80" s="34" t="e">
        <f>AND(#REF!,"AAAAADV/5yk=")</f>
        <v>#REF!</v>
      </c>
      <c r="AQ80" s="34" t="e">
        <f>AND(#REF!,"AAAAADV/5yo=")</f>
        <v>#REF!</v>
      </c>
      <c r="AR80" s="34" t="e">
        <f>AND(#REF!,"AAAAADV/5ys=")</f>
        <v>#REF!</v>
      </c>
      <c r="AS80" s="34" t="e">
        <f>AND(#REF!,"AAAAADV/5yw=")</f>
        <v>#REF!</v>
      </c>
      <c r="AT80" s="34" t="e">
        <f>AND(#REF!,"AAAAADV/5y0=")</f>
        <v>#REF!</v>
      </c>
      <c r="AU80" s="34" t="e">
        <f>AND(#REF!,"AAAAADV/5y4=")</f>
        <v>#REF!</v>
      </c>
      <c r="AV80" s="34" t="e">
        <f>AND(#REF!,"AAAAADV/5y8=")</f>
        <v>#REF!</v>
      </c>
      <c r="AW80" s="34" t="e">
        <f>AND(#REF!,"AAAAADV/5zA=")</f>
        <v>#REF!</v>
      </c>
      <c r="AX80" s="34" t="e">
        <f>AND(#REF!,"AAAAADV/5zE=")</f>
        <v>#REF!</v>
      </c>
      <c r="AY80" s="34" t="e">
        <f>AND(#REF!,"AAAAADV/5zI=")</f>
        <v>#REF!</v>
      </c>
      <c r="AZ80" s="34" t="e">
        <f>AND(#REF!,"AAAAADV/5zM=")</f>
        <v>#REF!</v>
      </c>
      <c r="BA80" s="34" t="e">
        <f>IF(#REF!,"AAAAADV/5zQ=",0)</f>
        <v>#REF!</v>
      </c>
      <c r="BB80" s="34" t="e">
        <f>AND(#REF!,"AAAAADV/5zU=")</f>
        <v>#REF!</v>
      </c>
      <c r="BC80" s="34" t="e">
        <f>AND(#REF!,"AAAAADV/5zY=")</f>
        <v>#REF!</v>
      </c>
      <c r="BD80" s="34" t="e">
        <f>AND(#REF!,"AAAAADV/5zc=")</f>
        <v>#REF!</v>
      </c>
      <c r="BE80" s="34" t="e">
        <f>AND(#REF!,"AAAAADV/5zg=")</f>
        <v>#REF!</v>
      </c>
      <c r="BF80" s="34" t="e">
        <f>AND(#REF!,"AAAAADV/5zk=")</f>
        <v>#REF!</v>
      </c>
      <c r="BG80" s="34" t="e">
        <f>AND(#REF!,"AAAAADV/5zo=")</f>
        <v>#REF!</v>
      </c>
      <c r="BH80" s="34" t="e">
        <f>AND(#REF!,"AAAAADV/5zs=")</f>
        <v>#REF!</v>
      </c>
      <c r="BI80" s="34" t="e">
        <f>AND(#REF!,"AAAAADV/5zw=")</f>
        <v>#REF!</v>
      </c>
      <c r="BJ80" s="34" t="e">
        <f>AND(#REF!,"AAAAADV/5z0=")</f>
        <v>#REF!</v>
      </c>
      <c r="BK80" s="34" t="e">
        <f>AND(#REF!,"AAAAADV/5z4=")</f>
        <v>#REF!</v>
      </c>
      <c r="BL80" s="34" t="e">
        <f>AND(#REF!,"AAAAADV/5z8=")</f>
        <v>#REF!</v>
      </c>
      <c r="BM80" s="34" t="e">
        <f>AND(#REF!,"AAAAADV/50A=")</f>
        <v>#REF!</v>
      </c>
      <c r="BN80" s="34" t="e">
        <f>AND(#REF!,"AAAAADV/50E=")</f>
        <v>#REF!</v>
      </c>
      <c r="BO80" s="34" t="e">
        <f>AND(#REF!,"AAAAADV/50I=")</f>
        <v>#REF!</v>
      </c>
      <c r="BP80" s="34" t="e">
        <f>AND(#REF!,"AAAAADV/50M=")</f>
        <v>#REF!</v>
      </c>
      <c r="BQ80" s="34" t="e">
        <f>AND(#REF!,"AAAAADV/50Q=")</f>
        <v>#REF!</v>
      </c>
      <c r="BR80" s="34" t="e">
        <f>IF(#REF!,"AAAAADV/50U=",0)</f>
        <v>#REF!</v>
      </c>
      <c r="BS80" s="34" t="e">
        <f>AND(#REF!,"AAAAADV/50Y=")</f>
        <v>#REF!</v>
      </c>
      <c r="BT80" s="34" t="e">
        <f>AND(#REF!,"AAAAADV/50c=")</f>
        <v>#REF!</v>
      </c>
      <c r="BU80" s="34" t="e">
        <f>AND(#REF!,"AAAAADV/50g=")</f>
        <v>#REF!</v>
      </c>
      <c r="BV80" s="34" t="e">
        <f>AND(#REF!,"AAAAADV/50k=")</f>
        <v>#REF!</v>
      </c>
      <c r="BW80" s="34" t="e">
        <f>AND(#REF!,"AAAAADV/50o=")</f>
        <v>#REF!</v>
      </c>
      <c r="BX80" s="34" t="e">
        <f>AND(#REF!,"AAAAADV/50s=")</f>
        <v>#REF!</v>
      </c>
      <c r="BY80" s="34" t="e">
        <f>AND(#REF!,"AAAAADV/50w=")</f>
        <v>#REF!</v>
      </c>
      <c r="BZ80" s="34" t="e">
        <f>AND(#REF!,"AAAAADV/500=")</f>
        <v>#REF!</v>
      </c>
      <c r="CA80" s="34" t="e">
        <f>AND(#REF!,"AAAAADV/504=")</f>
        <v>#REF!</v>
      </c>
      <c r="CB80" s="34" t="e">
        <f>AND(#REF!,"AAAAADV/508=")</f>
        <v>#REF!</v>
      </c>
      <c r="CC80" s="34" t="e">
        <f>AND(#REF!,"AAAAADV/51A=")</f>
        <v>#REF!</v>
      </c>
      <c r="CD80" s="34" t="e">
        <f>AND(#REF!,"AAAAADV/51E=")</f>
        <v>#REF!</v>
      </c>
      <c r="CE80" s="34" t="e">
        <f>AND(#REF!,"AAAAADV/51I=")</f>
        <v>#REF!</v>
      </c>
      <c r="CF80" s="34" t="e">
        <f>AND(#REF!,"AAAAADV/51M=")</f>
        <v>#REF!</v>
      </c>
      <c r="CG80" s="34" t="e">
        <f>AND(#REF!,"AAAAADV/51Q=")</f>
        <v>#REF!</v>
      </c>
      <c r="CH80" s="34" t="e">
        <f>AND(#REF!,"AAAAADV/51U=")</f>
        <v>#REF!</v>
      </c>
      <c r="CI80" s="34" t="e">
        <f>IF(#REF!,"AAAAADV/51Y=",0)</f>
        <v>#REF!</v>
      </c>
      <c r="CJ80" s="34" t="e">
        <f>AND(#REF!,"AAAAADV/51c=")</f>
        <v>#REF!</v>
      </c>
      <c r="CK80" s="34" t="e">
        <f>AND(#REF!,"AAAAADV/51g=")</f>
        <v>#REF!</v>
      </c>
      <c r="CL80" s="34" t="e">
        <f>AND(#REF!,"AAAAADV/51k=")</f>
        <v>#REF!</v>
      </c>
      <c r="CM80" s="34" t="e">
        <f>AND(#REF!,"AAAAADV/51o=")</f>
        <v>#REF!</v>
      </c>
      <c r="CN80" s="34" t="e">
        <f>AND(#REF!,"AAAAADV/51s=")</f>
        <v>#REF!</v>
      </c>
      <c r="CO80" s="34" t="e">
        <f>AND(#REF!,"AAAAADV/51w=")</f>
        <v>#REF!</v>
      </c>
      <c r="CP80" s="34" t="e">
        <f>AND(#REF!,"AAAAADV/510=")</f>
        <v>#REF!</v>
      </c>
      <c r="CQ80" s="34" t="e">
        <f>AND(#REF!,"AAAAADV/514=")</f>
        <v>#REF!</v>
      </c>
      <c r="CR80" s="34" t="e">
        <f>AND(#REF!,"AAAAADV/518=")</f>
        <v>#REF!</v>
      </c>
      <c r="CS80" s="34" t="e">
        <f>AND(#REF!,"AAAAADV/52A=")</f>
        <v>#REF!</v>
      </c>
      <c r="CT80" s="34" t="e">
        <f>AND(#REF!,"AAAAADV/52E=")</f>
        <v>#REF!</v>
      </c>
      <c r="CU80" s="34" t="e">
        <f>AND(#REF!,"AAAAADV/52I=")</f>
        <v>#REF!</v>
      </c>
      <c r="CV80" s="34" t="e">
        <f>AND(#REF!,"AAAAADV/52M=")</f>
        <v>#REF!</v>
      </c>
      <c r="CW80" s="34" t="e">
        <f>AND(#REF!,"AAAAADV/52Q=")</f>
        <v>#REF!</v>
      </c>
      <c r="CX80" s="34" t="e">
        <f>AND(#REF!,"AAAAADV/52U=")</f>
        <v>#REF!</v>
      </c>
      <c r="CY80" s="34" t="e">
        <f>AND(#REF!,"AAAAADV/52Y=")</f>
        <v>#REF!</v>
      </c>
      <c r="CZ80" s="34" t="e">
        <f>IF(#REF!,"AAAAADV/52c=",0)</f>
        <v>#REF!</v>
      </c>
      <c r="DA80" s="34" t="e">
        <f>AND(#REF!,"AAAAADV/52g=")</f>
        <v>#REF!</v>
      </c>
      <c r="DB80" s="34" t="e">
        <f>AND(#REF!,"AAAAADV/52k=")</f>
        <v>#REF!</v>
      </c>
      <c r="DC80" s="34" t="e">
        <f>AND(#REF!,"AAAAADV/52o=")</f>
        <v>#REF!</v>
      </c>
      <c r="DD80" s="34" t="e">
        <f>AND(#REF!,"AAAAADV/52s=")</f>
        <v>#REF!</v>
      </c>
      <c r="DE80" s="34" t="e">
        <f>AND(#REF!,"AAAAADV/52w=")</f>
        <v>#REF!</v>
      </c>
      <c r="DF80" s="34" t="e">
        <f>AND(#REF!,"AAAAADV/520=")</f>
        <v>#REF!</v>
      </c>
      <c r="DG80" s="34" t="e">
        <f>AND(#REF!,"AAAAADV/524=")</f>
        <v>#REF!</v>
      </c>
      <c r="DH80" s="34" t="e">
        <f>AND(#REF!,"AAAAADV/528=")</f>
        <v>#REF!</v>
      </c>
      <c r="DI80" s="34" t="e">
        <f>AND(#REF!,"AAAAADV/53A=")</f>
        <v>#REF!</v>
      </c>
      <c r="DJ80" s="34" t="e">
        <f>AND(#REF!,"AAAAADV/53E=")</f>
        <v>#REF!</v>
      </c>
      <c r="DK80" s="34" t="e">
        <f>AND(#REF!,"AAAAADV/53I=")</f>
        <v>#REF!</v>
      </c>
      <c r="DL80" s="34" t="e">
        <f>AND(#REF!,"AAAAADV/53M=")</f>
        <v>#REF!</v>
      </c>
      <c r="DM80" s="34" t="e">
        <f>AND(#REF!,"AAAAADV/53Q=")</f>
        <v>#REF!</v>
      </c>
      <c r="DN80" s="34" t="e">
        <f>AND(#REF!,"AAAAADV/53U=")</f>
        <v>#REF!</v>
      </c>
      <c r="DO80" s="34" t="e">
        <f>AND(#REF!,"AAAAADV/53Y=")</f>
        <v>#REF!</v>
      </c>
      <c r="DP80" s="34" t="e">
        <f>AND(#REF!,"AAAAADV/53c=")</f>
        <v>#REF!</v>
      </c>
      <c r="DQ80" s="34" t="e">
        <f>IF(#REF!,"AAAAADV/53g=",0)</f>
        <v>#REF!</v>
      </c>
      <c r="DR80" s="34" t="e">
        <f>AND(#REF!,"AAAAADV/53k=")</f>
        <v>#REF!</v>
      </c>
      <c r="DS80" s="34" t="e">
        <f>AND(#REF!,"AAAAADV/53o=")</f>
        <v>#REF!</v>
      </c>
      <c r="DT80" s="34" t="e">
        <f>AND(#REF!,"AAAAADV/53s=")</f>
        <v>#REF!</v>
      </c>
      <c r="DU80" s="34" t="e">
        <f>AND(#REF!,"AAAAADV/53w=")</f>
        <v>#REF!</v>
      </c>
      <c r="DV80" s="34" t="e">
        <f>AND(#REF!,"AAAAADV/530=")</f>
        <v>#REF!</v>
      </c>
      <c r="DW80" s="34" t="e">
        <f>AND(#REF!,"AAAAADV/534=")</f>
        <v>#REF!</v>
      </c>
      <c r="DX80" s="34" t="e">
        <f>AND(#REF!,"AAAAADV/538=")</f>
        <v>#REF!</v>
      </c>
      <c r="DY80" s="34" t="e">
        <f>AND(#REF!,"AAAAADV/54A=")</f>
        <v>#REF!</v>
      </c>
      <c r="DZ80" s="34" t="e">
        <f>AND(#REF!,"AAAAADV/54E=")</f>
        <v>#REF!</v>
      </c>
      <c r="EA80" s="34" t="e">
        <f>AND(#REF!,"AAAAADV/54I=")</f>
        <v>#REF!</v>
      </c>
      <c r="EB80" s="34" t="e">
        <f>AND(#REF!,"AAAAADV/54M=")</f>
        <v>#REF!</v>
      </c>
      <c r="EC80" s="34" t="e">
        <f>AND(#REF!,"AAAAADV/54Q=")</f>
        <v>#REF!</v>
      </c>
      <c r="ED80" s="34" t="e">
        <f>AND(#REF!,"AAAAADV/54U=")</f>
        <v>#REF!</v>
      </c>
      <c r="EE80" s="34" t="e">
        <f>AND(#REF!,"AAAAADV/54Y=")</f>
        <v>#REF!</v>
      </c>
      <c r="EF80" s="34" t="e">
        <f>AND(#REF!,"AAAAADV/54c=")</f>
        <v>#REF!</v>
      </c>
      <c r="EG80" s="34" t="e">
        <f>AND(#REF!,"AAAAADV/54g=")</f>
        <v>#REF!</v>
      </c>
      <c r="EH80" s="34" t="e">
        <f>IF(#REF!,"AAAAADV/54k=",0)</f>
        <v>#REF!</v>
      </c>
      <c r="EI80" s="34" t="e">
        <f>AND(#REF!,"AAAAADV/54o=")</f>
        <v>#REF!</v>
      </c>
      <c r="EJ80" s="34" t="e">
        <f>AND(#REF!,"AAAAADV/54s=")</f>
        <v>#REF!</v>
      </c>
      <c r="EK80" s="34" t="e">
        <f>AND(#REF!,"AAAAADV/54w=")</f>
        <v>#REF!</v>
      </c>
      <c r="EL80" s="34" t="e">
        <f>AND(#REF!,"AAAAADV/540=")</f>
        <v>#REF!</v>
      </c>
      <c r="EM80" s="34" t="e">
        <f>AND(#REF!,"AAAAADV/544=")</f>
        <v>#REF!</v>
      </c>
      <c r="EN80" s="34" t="e">
        <f>AND(#REF!,"AAAAADV/548=")</f>
        <v>#REF!</v>
      </c>
      <c r="EO80" s="34" t="e">
        <f>AND(#REF!,"AAAAADV/55A=")</f>
        <v>#REF!</v>
      </c>
      <c r="EP80" s="34" t="e">
        <f>AND(#REF!,"AAAAADV/55E=")</f>
        <v>#REF!</v>
      </c>
      <c r="EQ80" s="34" t="e">
        <f>AND(#REF!,"AAAAADV/55I=")</f>
        <v>#REF!</v>
      </c>
      <c r="ER80" s="34" t="e">
        <f>AND(#REF!,"AAAAADV/55M=")</f>
        <v>#REF!</v>
      </c>
      <c r="ES80" s="34" t="e">
        <f>AND(#REF!,"AAAAADV/55Q=")</f>
        <v>#REF!</v>
      </c>
      <c r="ET80" s="34" t="e">
        <f>AND(#REF!,"AAAAADV/55U=")</f>
        <v>#REF!</v>
      </c>
      <c r="EU80" s="34" t="e">
        <f>AND(#REF!,"AAAAADV/55Y=")</f>
        <v>#REF!</v>
      </c>
      <c r="EV80" s="34" t="e">
        <f>AND(#REF!,"AAAAADV/55c=")</f>
        <v>#REF!</v>
      </c>
      <c r="EW80" s="34" t="e">
        <f>AND(#REF!,"AAAAADV/55g=")</f>
        <v>#REF!</v>
      </c>
      <c r="EX80" s="34" t="e">
        <f>AND(#REF!,"AAAAADV/55k=")</f>
        <v>#REF!</v>
      </c>
      <c r="EY80" s="34" t="e">
        <f>IF(#REF!,"AAAAADV/55o=",0)</f>
        <v>#REF!</v>
      </c>
      <c r="EZ80" s="34" t="e">
        <f>AND(#REF!,"AAAAADV/55s=")</f>
        <v>#REF!</v>
      </c>
      <c r="FA80" s="34" t="e">
        <f>AND(#REF!,"AAAAADV/55w=")</f>
        <v>#REF!</v>
      </c>
      <c r="FB80" s="34" t="e">
        <f>AND(#REF!,"AAAAADV/550=")</f>
        <v>#REF!</v>
      </c>
      <c r="FC80" s="34" t="e">
        <f>AND(#REF!,"AAAAADV/554=")</f>
        <v>#REF!</v>
      </c>
      <c r="FD80" s="34" t="e">
        <f>AND(#REF!,"AAAAADV/558=")</f>
        <v>#REF!</v>
      </c>
      <c r="FE80" s="34" t="e">
        <f>AND(#REF!,"AAAAADV/56A=")</f>
        <v>#REF!</v>
      </c>
      <c r="FF80" s="34" t="e">
        <f>AND(#REF!,"AAAAADV/56E=")</f>
        <v>#REF!</v>
      </c>
      <c r="FG80" s="34" t="e">
        <f>AND(#REF!,"AAAAADV/56I=")</f>
        <v>#REF!</v>
      </c>
      <c r="FH80" s="34" t="e">
        <f>AND(#REF!,"AAAAADV/56M=")</f>
        <v>#REF!</v>
      </c>
      <c r="FI80" s="34" t="e">
        <f>AND(#REF!,"AAAAADV/56Q=")</f>
        <v>#REF!</v>
      </c>
      <c r="FJ80" s="34" t="e">
        <f>AND(#REF!,"AAAAADV/56U=")</f>
        <v>#REF!</v>
      </c>
      <c r="FK80" s="34" t="e">
        <f>AND(#REF!,"AAAAADV/56Y=")</f>
        <v>#REF!</v>
      </c>
      <c r="FL80" s="34" t="e">
        <f>AND(#REF!,"AAAAADV/56c=")</f>
        <v>#REF!</v>
      </c>
      <c r="FM80" s="34" t="e">
        <f>AND(#REF!,"AAAAADV/56g=")</f>
        <v>#REF!</v>
      </c>
      <c r="FN80" s="34" t="e">
        <f>AND(#REF!,"AAAAADV/56k=")</f>
        <v>#REF!</v>
      </c>
      <c r="FO80" s="34" t="e">
        <f>AND(#REF!,"AAAAADV/56o=")</f>
        <v>#REF!</v>
      </c>
      <c r="FP80" s="34" t="e">
        <f>IF(#REF!,"AAAAADV/56s=",0)</f>
        <v>#REF!</v>
      </c>
      <c r="FQ80" s="34" t="e">
        <f>AND(#REF!,"AAAAADV/56w=")</f>
        <v>#REF!</v>
      </c>
      <c r="FR80" s="34" t="e">
        <f>AND(#REF!,"AAAAADV/560=")</f>
        <v>#REF!</v>
      </c>
      <c r="FS80" s="34" t="e">
        <f>AND(#REF!,"AAAAADV/564=")</f>
        <v>#REF!</v>
      </c>
      <c r="FT80" s="34" t="e">
        <f>AND(#REF!,"AAAAADV/568=")</f>
        <v>#REF!</v>
      </c>
      <c r="FU80" s="34" t="e">
        <f>AND(#REF!,"AAAAADV/57A=")</f>
        <v>#REF!</v>
      </c>
      <c r="FV80" s="34" t="e">
        <f>AND(#REF!,"AAAAADV/57E=")</f>
        <v>#REF!</v>
      </c>
      <c r="FW80" s="34" t="e">
        <f>AND(#REF!,"AAAAADV/57I=")</f>
        <v>#REF!</v>
      </c>
      <c r="FX80" s="34" t="e">
        <f>AND(#REF!,"AAAAADV/57M=")</f>
        <v>#REF!</v>
      </c>
      <c r="FY80" s="34" t="e">
        <f>AND(#REF!,"AAAAADV/57Q=")</f>
        <v>#REF!</v>
      </c>
      <c r="FZ80" s="34" t="e">
        <f>AND(#REF!,"AAAAADV/57U=")</f>
        <v>#REF!</v>
      </c>
      <c r="GA80" s="34" t="e">
        <f>AND(#REF!,"AAAAADV/57Y=")</f>
        <v>#REF!</v>
      </c>
      <c r="GB80" s="34" t="e">
        <f>AND(#REF!,"AAAAADV/57c=")</f>
        <v>#REF!</v>
      </c>
      <c r="GC80" s="34" t="e">
        <f>AND(#REF!,"AAAAADV/57g=")</f>
        <v>#REF!</v>
      </c>
      <c r="GD80" s="34" t="e">
        <f>AND(#REF!,"AAAAADV/57k=")</f>
        <v>#REF!</v>
      </c>
      <c r="GE80" s="34" t="e">
        <f>AND(#REF!,"AAAAADV/57o=")</f>
        <v>#REF!</v>
      </c>
      <c r="GF80" s="34" t="e">
        <f>AND(#REF!,"AAAAADV/57s=")</f>
        <v>#REF!</v>
      </c>
      <c r="GG80" s="34" t="e">
        <f>IF(#REF!,"AAAAADV/57w=",0)</f>
        <v>#REF!</v>
      </c>
      <c r="GH80" s="34" t="e">
        <f>AND(#REF!,"AAAAADV/570=")</f>
        <v>#REF!</v>
      </c>
      <c r="GI80" s="34" t="e">
        <f>AND(#REF!,"AAAAADV/574=")</f>
        <v>#REF!</v>
      </c>
      <c r="GJ80" s="34" t="e">
        <f>AND(#REF!,"AAAAADV/578=")</f>
        <v>#REF!</v>
      </c>
      <c r="GK80" s="34" t="e">
        <f>AND(#REF!,"AAAAADV/58A=")</f>
        <v>#REF!</v>
      </c>
      <c r="GL80" s="34" t="e">
        <f>AND(#REF!,"AAAAADV/58E=")</f>
        <v>#REF!</v>
      </c>
      <c r="GM80" s="34" t="e">
        <f>AND(#REF!,"AAAAADV/58I=")</f>
        <v>#REF!</v>
      </c>
      <c r="GN80" s="34" t="e">
        <f>AND(#REF!,"AAAAADV/58M=")</f>
        <v>#REF!</v>
      </c>
      <c r="GO80" s="34" t="e">
        <f>AND(#REF!,"AAAAADV/58Q=")</f>
        <v>#REF!</v>
      </c>
      <c r="GP80" s="34" t="e">
        <f>AND(#REF!,"AAAAADV/58U=")</f>
        <v>#REF!</v>
      </c>
      <c r="GQ80" s="34" t="e">
        <f>AND(#REF!,"AAAAADV/58Y=")</f>
        <v>#REF!</v>
      </c>
      <c r="GR80" s="34" t="e">
        <f>AND(#REF!,"AAAAADV/58c=")</f>
        <v>#REF!</v>
      </c>
      <c r="GS80" s="34" t="e">
        <f>AND(#REF!,"AAAAADV/58g=")</f>
        <v>#REF!</v>
      </c>
      <c r="GT80" s="34" t="e">
        <f>AND(#REF!,"AAAAADV/58k=")</f>
        <v>#REF!</v>
      </c>
      <c r="GU80" s="34" t="e">
        <f>AND(#REF!,"AAAAADV/58o=")</f>
        <v>#REF!</v>
      </c>
      <c r="GV80" s="34" t="e">
        <f>AND(#REF!,"AAAAADV/58s=")</f>
        <v>#REF!</v>
      </c>
      <c r="GW80" s="34" t="e">
        <f>AND(#REF!,"AAAAADV/58w=")</f>
        <v>#REF!</v>
      </c>
      <c r="GX80" s="34" t="e">
        <f>IF(#REF!,"AAAAADV/580=",0)</f>
        <v>#REF!</v>
      </c>
      <c r="GY80" s="34" t="e">
        <f>AND(#REF!,"AAAAADV/584=")</f>
        <v>#REF!</v>
      </c>
      <c r="GZ80" s="34" t="e">
        <f>AND(#REF!,"AAAAADV/588=")</f>
        <v>#REF!</v>
      </c>
      <c r="HA80" s="34" t="e">
        <f>AND(#REF!,"AAAAADV/59A=")</f>
        <v>#REF!</v>
      </c>
      <c r="HB80" s="34" t="e">
        <f>AND(#REF!,"AAAAADV/59E=")</f>
        <v>#REF!</v>
      </c>
      <c r="HC80" s="34" t="e">
        <f>AND(#REF!,"AAAAADV/59I=")</f>
        <v>#REF!</v>
      </c>
      <c r="HD80" s="34" t="e">
        <f>AND(#REF!,"AAAAADV/59M=")</f>
        <v>#REF!</v>
      </c>
      <c r="HE80" s="34" t="e">
        <f>AND(#REF!,"AAAAADV/59Q=")</f>
        <v>#REF!</v>
      </c>
      <c r="HF80" s="34" t="e">
        <f>AND(#REF!,"AAAAADV/59U=")</f>
        <v>#REF!</v>
      </c>
      <c r="HG80" s="34" t="e">
        <f>AND(#REF!,"AAAAADV/59Y=")</f>
        <v>#REF!</v>
      </c>
      <c r="HH80" s="34" t="e">
        <f>AND(#REF!,"AAAAADV/59c=")</f>
        <v>#REF!</v>
      </c>
      <c r="HI80" s="34" t="e">
        <f>AND(#REF!,"AAAAADV/59g=")</f>
        <v>#REF!</v>
      </c>
      <c r="HJ80" s="34" t="e">
        <f>AND(#REF!,"AAAAADV/59k=")</f>
        <v>#REF!</v>
      </c>
      <c r="HK80" s="34" t="e">
        <f>AND(#REF!,"AAAAADV/59o=")</f>
        <v>#REF!</v>
      </c>
      <c r="HL80" s="34" t="e">
        <f>AND(#REF!,"AAAAADV/59s=")</f>
        <v>#REF!</v>
      </c>
      <c r="HM80" s="34" t="e">
        <f>AND(#REF!,"AAAAADV/59w=")</f>
        <v>#REF!</v>
      </c>
      <c r="HN80" s="34" t="e">
        <f>AND(#REF!,"AAAAADV/590=")</f>
        <v>#REF!</v>
      </c>
      <c r="HO80" s="34" t="e">
        <f>IF(#REF!,"AAAAADV/594=",0)</f>
        <v>#REF!</v>
      </c>
      <c r="HP80" s="34" t="e">
        <f>AND(#REF!,"AAAAADV/598=")</f>
        <v>#REF!</v>
      </c>
      <c r="HQ80" s="34" t="e">
        <f>AND(#REF!,"AAAAADV/5+A=")</f>
        <v>#REF!</v>
      </c>
      <c r="HR80" s="34" t="e">
        <f>AND(#REF!,"AAAAADV/5+E=")</f>
        <v>#REF!</v>
      </c>
      <c r="HS80" s="34" t="e">
        <f>AND(#REF!,"AAAAADV/5+I=")</f>
        <v>#REF!</v>
      </c>
      <c r="HT80" s="34" t="e">
        <f>AND(#REF!,"AAAAADV/5+M=")</f>
        <v>#REF!</v>
      </c>
      <c r="HU80" s="34" t="e">
        <f>AND(#REF!,"AAAAADV/5+Q=")</f>
        <v>#REF!</v>
      </c>
      <c r="HV80" s="34" t="e">
        <f>AND(#REF!,"AAAAADV/5+U=")</f>
        <v>#REF!</v>
      </c>
      <c r="HW80" s="34" t="e">
        <f>AND(#REF!,"AAAAADV/5+Y=")</f>
        <v>#REF!</v>
      </c>
      <c r="HX80" s="34" t="e">
        <f>AND(#REF!,"AAAAADV/5+c=")</f>
        <v>#REF!</v>
      </c>
      <c r="HY80" s="34" t="e">
        <f>AND(#REF!,"AAAAADV/5+g=")</f>
        <v>#REF!</v>
      </c>
      <c r="HZ80" s="34" t="e">
        <f>AND(#REF!,"AAAAADV/5+k=")</f>
        <v>#REF!</v>
      </c>
      <c r="IA80" s="34" t="e">
        <f>AND(#REF!,"AAAAADV/5+o=")</f>
        <v>#REF!</v>
      </c>
      <c r="IB80" s="34" t="e">
        <f>AND(#REF!,"AAAAADV/5+s=")</f>
        <v>#REF!</v>
      </c>
      <c r="IC80" s="34" t="e">
        <f>AND(#REF!,"AAAAADV/5+w=")</f>
        <v>#REF!</v>
      </c>
      <c r="ID80" s="34" t="e">
        <f>AND(#REF!,"AAAAADV/5+0=")</f>
        <v>#REF!</v>
      </c>
      <c r="IE80" s="34" t="e">
        <f>AND(#REF!,"AAAAADV/5+4=")</f>
        <v>#REF!</v>
      </c>
      <c r="IF80" s="34" t="e">
        <f>IF(#REF!,"AAAAADV/5+8=",0)</f>
        <v>#REF!</v>
      </c>
      <c r="IG80" s="34" t="e">
        <f>AND(#REF!,"AAAAADV/5/A=")</f>
        <v>#REF!</v>
      </c>
      <c r="IH80" s="34" t="e">
        <f>AND(#REF!,"AAAAADV/5/E=")</f>
        <v>#REF!</v>
      </c>
      <c r="II80" s="34" t="e">
        <f>AND(#REF!,"AAAAADV/5/I=")</f>
        <v>#REF!</v>
      </c>
      <c r="IJ80" s="34" t="e">
        <f>AND(#REF!,"AAAAADV/5/M=")</f>
        <v>#REF!</v>
      </c>
      <c r="IK80" s="34" t="e">
        <f>AND(#REF!,"AAAAADV/5/Q=")</f>
        <v>#REF!</v>
      </c>
      <c r="IL80" s="34" t="e">
        <f>AND(#REF!,"AAAAADV/5/U=")</f>
        <v>#REF!</v>
      </c>
      <c r="IM80" s="34" t="e">
        <f>AND(#REF!,"AAAAADV/5/Y=")</f>
        <v>#REF!</v>
      </c>
      <c r="IN80" s="34" t="e">
        <f>AND(#REF!,"AAAAADV/5/c=")</f>
        <v>#REF!</v>
      </c>
      <c r="IO80" s="34" t="e">
        <f>AND(#REF!,"AAAAADV/5/g=")</f>
        <v>#REF!</v>
      </c>
      <c r="IP80" s="34" t="e">
        <f>AND(#REF!,"AAAAADV/5/k=")</f>
        <v>#REF!</v>
      </c>
      <c r="IQ80" s="34" t="e">
        <f>AND(#REF!,"AAAAADV/5/o=")</f>
        <v>#REF!</v>
      </c>
      <c r="IR80" s="34" t="e">
        <f>AND(#REF!,"AAAAADV/5/s=")</f>
        <v>#REF!</v>
      </c>
      <c r="IS80" s="34" t="e">
        <f>AND(#REF!,"AAAAADV/5/w=")</f>
        <v>#REF!</v>
      </c>
      <c r="IT80" s="34" t="e">
        <f>AND(#REF!,"AAAAADV/5/0=")</f>
        <v>#REF!</v>
      </c>
      <c r="IU80" s="34" t="e">
        <f>AND(#REF!,"AAAAADV/5/4=")</f>
        <v>#REF!</v>
      </c>
      <c r="IV80" s="34" t="e">
        <f>AND(#REF!,"AAAAADV/5/8=")</f>
        <v>#REF!</v>
      </c>
    </row>
    <row r="81" spans="1:256" ht="12.75" customHeight="1" x14ac:dyDescent="0.2">
      <c r="A81" s="34" t="e">
        <f>IF(#REF!,"AAAAAD529QA=",0)</f>
        <v>#REF!</v>
      </c>
      <c r="B81" s="34" t="e">
        <f>AND(#REF!,"AAAAAD529QE=")</f>
        <v>#REF!</v>
      </c>
      <c r="C81" s="34" t="e">
        <f>AND(#REF!,"AAAAAD529QI=")</f>
        <v>#REF!</v>
      </c>
      <c r="D81" s="34" t="e">
        <f>AND(#REF!,"AAAAAD529QM=")</f>
        <v>#REF!</v>
      </c>
      <c r="E81" s="34" t="e">
        <f>AND(#REF!,"AAAAAD529QQ=")</f>
        <v>#REF!</v>
      </c>
      <c r="F81" s="34" t="e">
        <f>AND(#REF!,"AAAAAD529QU=")</f>
        <v>#REF!</v>
      </c>
      <c r="G81" s="34" t="e">
        <f>AND(#REF!,"AAAAAD529QY=")</f>
        <v>#REF!</v>
      </c>
      <c r="H81" s="34" t="e">
        <f>AND(#REF!,"AAAAAD529Qc=")</f>
        <v>#REF!</v>
      </c>
      <c r="I81" s="34" t="e">
        <f>AND(#REF!,"AAAAAD529Qg=")</f>
        <v>#REF!</v>
      </c>
      <c r="J81" s="34" t="e">
        <f>AND(#REF!,"AAAAAD529Qk=")</f>
        <v>#REF!</v>
      </c>
      <c r="K81" s="34" t="e">
        <f>AND(#REF!,"AAAAAD529Qo=")</f>
        <v>#REF!</v>
      </c>
      <c r="L81" s="34" t="e">
        <f>AND(#REF!,"AAAAAD529Qs=")</f>
        <v>#REF!</v>
      </c>
      <c r="M81" s="34" t="e">
        <f>AND(#REF!,"AAAAAD529Qw=")</f>
        <v>#REF!</v>
      </c>
      <c r="N81" s="34" t="e">
        <f>AND(#REF!,"AAAAAD529Q0=")</f>
        <v>#REF!</v>
      </c>
      <c r="O81" s="34" t="e">
        <f>AND(#REF!,"AAAAAD529Q4=")</f>
        <v>#REF!</v>
      </c>
      <c r="P81" s="34" t="e">
        <f>AND(#REF!,"AAAAAD529Q8=")</f>
        <v>#REF!</v>
      </c>
      <c r="Q81" s="34" t="e">
        <f>AND(#REF!,"AAAAAD529RA=")</f>
        <v>#REF!</v>
      </c>
      <c r="R81" s="34" t="e">
        <f>IF(#REF!,"AAAAAD529RE=",0)</f>
        <v>#REF!</v>
      </c>
      <c r="S81" s="34" t="e">
        <f>AND(#REF!,"AAAAAD529RI=")</f>
        <v>#REF!</v>
      </c>
      <c r="T81" s="34" t="e">
        <f>AND(#REF!,"AAAAAD529RM=")</f>
        <v>#REF!</v>
      </c>
      <c r="U81" s="34" t="e">
        <f>AND(#REF!,"AAAAAD529RQ=")</f>
        <v>#REF!</v>
      </c>
      <c r="V81" s="34" t="e">
        <f>AND(#REF!,"AAAAAD529RU=")</f>
        <v>#REF!</v>
      </c>
      <c r="W81" s="34" t="e">
        <f>AND(#REF!,"AAAAAD529RY=")</f>
        <v>#REF!</v>
      </c>
      <c r="X81" s="34" t="e">
        <f>AND(#REF!,"AAAAAD529Rc=")</f>
        <v>#REF!</v>
      </c>
      <c r="Y81" s="34" t="e">
        <f>AND(#REF!,"AAAAAD529Rg=")</f>
        <v>#REF!</v>
      </c>
      <c r="Z81" s="34" t="e">
        <f>AND(#REF!,"AAAAAD529Rk=")</f>
        <v>#REF!</v>
      </c>
      <c r="AA81" s="34" t="e">
        <f>AND(#REF!,"AAAAAD529Ro=")</f>
        <v>#REF!</v>
      </c>
      <c r="AB81" s="34" t="e">
        <f>AND(#REF!,"AAAAAD529Rs=")</f>
        <v>#REF!</v>
      </c>
      <c r="AC81" s="34" t="e">
        <f>AND(#REF!,"AAAAAD529Rw=")</f>
        <v>#REF!</v>
      </c>
      <c r="AD81" s="34" t="e">
        <f>AND(#REF!,"AAAAAD529R0=")</f>
        <v>#REF!</v>
      </c>
      <c r="AE81" s="34" t="e">
        <f>AND(#REF!,"AAAAAD529R4=")</f>
        <v>#REF!</v>
      </c>
      <c r="AF81" s="34" t="e">
        <f>AND(#REF!,"AAAAAD529R8=")</f>
        <v>#REF!</v>
      </c>
      <c r="AG81" s="34" t="e">
        <f>AND(#REF!,"AAAAAD529SA=")</f>
        <v>#REF!</v>
      </c>
      <c r="AH81" s="34" t="e">
        <f>AND(#REF!,"AAAAAD529SE=")</f>
        <v>#REF!</v>
      </c>
      <c r="AI81" s="34" t="e">
        <f>IF(#REF!,"AAAAAD529SI=",0)</f>
        <v>#REF!</v>
      </c>
      <c r="AJ81" s="34" t="e">
        <f>AND(#REF!,"AAAAAD529SM=")</f>
        <v>#REF!</v>
      </c>
      <c r="AK81" s="34" t="e">
        <f>AND(#REF!,"AAAAAD529SQ=")</f>
        <v>#REF!</v>
      </c>
      <c r="AL81" s="34" t="e">
        <f>AND(#REF!,"AAAAAD529SU=")</f>
        <v>#REF!</v>
      </c>
      <c r="AM81" s="34" t="e">
        <f>AND(#REF!,"AAAAAD529SY=")</f>
        <v>#REF!</v>
      </c>
      <c r="AN81" s="34" t="e">
        <f>AND(#REF!,"AAAAAD529Sc=")</f>
        <v>#REF!</v>
      </c>
      <c r="AO81" s="34" t="e">
        <f>AND(#REF!,"AAAAAD529Sg=")</f>
        <v>#REF!</v>
      </c>
      <c r="AP81" s="34" t="e">
        <f>AND(#REF!,"AAAAAD529Sk=")</f>
        <v>#REF!</v>
      </c>
      <c r="AQ81" s="34" t="e">
        <f>AND(#REF!,"AAAAAD529So=")</f>
        <v>#REF!</v>
      </c>
      <c r="AR81" s="34" t="e">
        <f>AND(#REF!,"AAAAAD529Ss=")</f>
        <v>#REF!</v>
      </c>
      <c r="AS81" s="34" t="e">
        <f>AND(#REF!,"AAAAAD529Sw=")</f>
        <v>#REF!</v>
      </c>
      <c r="AT81" s="34" t="e">
        <f>AND(#REF!,"AAAAAD529S0=")</f>
        <v>#REF!</v>
      </c>
      <c r="AU81" s="34" t="e">
        <f>AND(#REF!,"AAAAAD529S4=")</f>
        <v>#REF!</v>
      </c>
      <c r="AV81" s="34" t="e">
        <f>AND(#REF!,"AAAAAD529S8=")</f>
        <v>#REF!</v>
      </c>
      <c r="AW81" s="34" t="e">
        <f>AND(#REF!,"AAAAAD529TA=")</f>
        <v>#REF!</v>
      </c>
      <c r="AX81" s="34" t="e">
        <f>AND(#REF!,"AAAAAD529TE=")</f>
        <v>#REF!</v>
      </c>
      <c r="AY81" s="34" t="e">
        <f>AND(#REF!,"AAAAAD529TI=")</f>
        <v>#REF!</v>
      </c>
      <c r="AZ81" s="34" t="e">
        <f>IF(#REF!,"AAAAAD529TM=",0)</f>
        <v>#REF!</v>
      </c>
      <c r="BA81" s="34" t="e">
        <f>AND(#REF!,"AAAAAD529TQ=")</f>
        <v>#REF!</v>
      </c>
      <c r="BB81" s="34" t="e">
        <f>AND(#REF!,"AAAAAD529TU=")</f>
        <v>#REF!</v>
      </c>
      <c r="BC81" s="34" t="e">
        <f>AND(#REF!,"AAAAAD529TY=")</f>
        <v>#REF!</v>
      </c>
      <c r="BD81" s="34" t="e">
        <f>AND(#REF!,"AAAAAD529Tc=")</f>
        <v>#REF!</v>
      </c>
      <c r="BE81" s="34" t="e">
        <f>AND(#REF!,"AAAAAD529Tg=")</f>
        <v>#REF!</v>
      </c>
      <c r="BF81" s="34" t="e">
        <f>AND(#REF!,"AAAAAD529Tk=")</f>
        <v>#REF!</v>
      </c>
      <c r="BG81" s="34" t="e">
        <f>AND(#REF!,"AAAAAD529To=")</f>
        <v>#REF!</v>
      </c>
      <c r="BH81" s="34" t="e">
        <f>AND(#REF!,"AAAAAD529Ts=")</f>
        <v>#REF!</v>
      </c>
      <c r="BI81" s="34" t="e">
        <f>AND(#REF!,"AAAAAD529Tw=")</f>
        <v>#REF!</v>
      </c>
      <c r="BJ81" s="34" t="e">
        <f>AND(#REF!,"AAAAAD529T0=")</f>
        <v>#REF!</v>
      </c>
      <c r="BK81" s="34" t="e">
        <f>AND(#REF!,"AAAAAD529T4=")</f>
        <v>#REF!</v>
      </c>
      <c r="BL81" s="34" t="e">
        <f>AND(#REF!,"AAAAAD529T8=")</f>
        <v>#REF!</v>
      </c>
      <c r="BM81" s="34" t="e">
        <f>AND(#REF!,"AAAAAD529UA=")</f>
        <v>#REF!</v>
      </c>
      <c r="BN81" s="34" t="e">
        <f>AND(#REF!,"AAAAAD529UE=")</f>
        <v>#REF!</v>
      </c>
      <c r="BO81" s="34" t="e">
        <f>AND(#REF!,"AAAAAD529UI=")</f>
        <v>#REF!</v>
      </c>
      <c r="BP81" s="34" t="e">
        <f>AND(#REF!,"AAAAAD529UM=")</f>
        <v>#REF!</v>
      </c>
      <c r="BQ81" s="34" t="e">
        <f>IF(#REF!,"AAAAAD529UQ=",0)</f>
        <v>#REF!</v>
      </c>
      <c r="BR81" s="34" t="e">
        <f>AND(#REF!,"AAAAAD529UU=")</f>
        <v>#REF!</v>
      </c>
      <c r="BS81" s="34" t="e">
        <f>AND(#REF!,"AAAAAD529UY=")</f>
        <v>#REF!</v>
      </c>
      <c r="BT81" s="34" t="e">
        <f>AND(#REF!,"AAAAAD529Uc=")</f>
        <v>#REF!</v>
      </c>
      <c r="BU81" s="34" t="e">
        <f>AND(#REF!,"AAAAAD529Ug=")</f>
        <v>#REF!</v>
      </c>
      <c r="BV81" s="34" t="e">
        <f>AND(#REF!,"AAAAAD529Uk=")</f>
        <v>#REF!</v>
      </c>
      <c r="BW81" s="34" t="e">
        <f>AND(#REF!,"AAAAAD529Uo=")</f>
        <v>#REF!</v>
      </c>
      <c r="BX81" s="34" t="e">
        <f>AND(#REF!,"AAAAAD529Us=")</f>
        <v>#REF!</v>
      </c>
      <c r="BY81" s="34" t="e">
        <f>AND(#REF!,"AAAAAD529Uw=")</f>
        <v>#REF!</v>
      </c>
      <c r="BZ81" s="34" t="e">
        <f>AND(#REF!,"AAAAAD529U0=")</f>
        <v>#REF!</v>
      </c>
      <c r="CA81" s="34" t="e">
        <f>AND(#REF!,"AAAAAD529U4=")</f>
        <v>#REF!</v>
      </c>
      <c r="CB81" s="34" t="e">
        <f>AND(#REF!,"AAAAAD529U8=")</f>
        <v>#REF!</v>
      </c>
      <c r="CC81" s="34" t="e">
        <f>AND(#REF!,"AAAAAD529VA=")</f>
        <v>#REF!</v>
      </c>
      <c r="CD81" s="34" t="e">
        <f>AND(#REF!,"AAAAAD529VE=")</f>
        <v>#REF!</v>
      </c>
      <c r="CE81" s="34" t="e">
        <f>AND(#REF!,"AAAAAD529VI=")</f>
        <v>#REF!</v>
      </c>
      <c r="CF81" s="34" t="e">
        <f>AND(#REF!,"AAAAAD529VM=")</f>
        <v>#REF!</v>
      </c>
      <c r="CG81" s="34" t="e">
        <f>AND(#REF!,"AAAAAD529VQ=")</f>
        <v>#REF!</v>
      </c>
      <c r="CH81" s="34" t="e">
        <f>IF(#REF!,"AAAAAD529VU=",0)</f>
        <v>#REF!</v>
      </c>
      <c r="CI81" s="34" t="e">
        <f>AND(#REF!,"AAAAAD529VY=")</f>
        <v>#REF!</v>
      </c>
      <c r="CJ81" s="34" t="e">
        <f>AND(#REF!,"AAAAAD529Vc=")</f>
        <v>#REF!</v>
      </c>
      <c r="CK81" s="34" t="e">
        <f>AND(#REF!,"AAAAAD529Vg=")</f>
        <v>#REF!</v>
      </c>
      <c r="CL81" s="34" t="e">
        <f>AND(#REF!,"AAAAAD529Vk=")</f>
        <v>#REF!</v>
      </c>
      <c r="CM81" s="34" t="e">
        <f>AND(#REF!,"AAAAAD529Vo=")</f>
        <v>#REF!</v>
      </c>
      <c r="CN81" s="34" t="e">
        <f>AND(#REF!,"AAAAAD529Vs=")</f>
        <v>#REF!</v>
      </c>
      <c r="CO81" s="34" t="e">
        <f>AND(#REF!,"AAAAAD529Vw=")</f>
        <v>#REF!</v>
      </c>
      <c r="CP81" s="34" t="e">
        <f>AND(#REF!,"AAAAAD529V0=")</f>
        <v>#REF!</v>
      </c>
      <c r="CQ81" s="34" t="e">
        <f>AND(#REF!,"AAAAAD529V4=")</f>
        <v>#REF!</v>
      </c>
      <c r="CR81" s="34" t="e">
        <f>AND(#REF!,"AAAAAD529V8=")</f>
        <v>#REF!</v>
      </c>
      <c r="CS81" s="34" t="e">
        <f>AND(#REF!,"AAAAAD529WA=")</f>
        <v>#REF!</v>
      </c>
      <c r="CT81" s="34" t="e">
        <f>AND(#REF!,"AAAAAD529WE=")</f>
        <v>#REF!</v>
      </c>
      <c r="CU81" s="34" t="e">
        <f>AND(#REF!,"AAAAAD529WI=")</f>
        <v>#REF!</v>
      </c>
      <c r="CV81" s="34" t="e">
        <f>AND(#REF!,"AAAAAD529WM=")</f>
        <v>#REF!</v>
      </c>
      <c r="CW81" s="34" t="e">
        <f>AND(#REF!,"AAAAAD529WQ=")</f>
        <v>#REF!</v>
      </c>
      <c r="CX81" s="34" t="e">
        <f>AND(#REF!,"AAAAAD529WU=")</f>
        <v>#REF!</v>
      </c>
      <c r="CY81" s="34" t="e">
        <f>IF(#REF!,"AAAAAD529WY=",0)</f>
        <v>#REF!</v>
      </c>
      <c r="CZ81" s="34" t="e">
        <f>AND(#REF!,"AAAAAD529Wc=")</f>
        <v>#REF!</v>
      </c>
      <c r="DA81" s="34" t="e">
        <f>AND(#REF!,"AAAAAD529Wg=")</f>
        <v>#REF!</v>
      </c>
      <c r="DB81" s="34" t="e">
        <f>AND(#REF!,"AAAAAD529Wk=")</f>
        <v>#REF!</v>
      </c>
      <c r="DC81" s="34" t="e">
        <f>AND(#REF!,"AAAAAD529Wo=")</f>
        <v>#REF!</v>
      </c>
      <c r="DD81" s="34" t="e">
        <f>AND(#REF!,"AAAAAD529Ws=")</f>
        <v>#REF!</v>
      </c>
      <c r="DE81" s="34" t="e">
        <f>AND(#REF!,"AAAAAD529Ww=")</f>
        <v>#REF!</v>
      </c>
      <c r="DF81" s="34" t="e">
        <f>AND(#REF!,"AAAAAD529W0=")</f>
        <v>#REF!</v>
      </c>
      <c r="DG81" s="34" t="e">
        <f>AND(#REF!,"AAAAAD529W4=")</f>
        <v>#REF!</v>
      </c>
      <c r="DH81" s="34" t="e">
        <f>AND(#REF!,"AAAAAD529W8=")</f>
        <v>#REF!</v>
      </c>
      <c r="DI81" s="34" t="e">
        <f>AND(#REF!,"AAAAAD529XA=")</f>
        <v>#REF!</v>
      </c>
      <c r="DJ81" s="34" t="e">
        <f>AND(#REF!,"AAAAAD529XE=")</f>
        <v>#REF!</v>
      </c>
      <c r="DK81" s="34" t="e">
        <f>AND(#REF!,"AAAAAD529XI=")</f>
        <v>#REF!</v>
      </c>
      <c r="DL81" s="34" t="e">
        <f>AND(#REF!,"AAAAAD529XM=")</f>
        <v>#REF!</v>
      </c>
      <c r="DM81" s="34" t="e">
        <f>AND(#REF!,"AAAAAD529XQ=")</f>
        <v>#REF!</v>
      </c>
      <c r="DN81" s="34" t="e">
        <f>AND(#REF!,"AAAAAD529XU=")</f>
        <v>#REF!</v>
      </c>
      <c r="DO81" s="34" t="e">
        <f>AND(#REF!,"AAAAAD529XY=")</f>
        <v>#REF!</v>
      </c>
      <c r="DP81" s="34" t="e">
        <f>IF(#REF!,"AAAAAD529Xc=",0)</f>
        <v>#REF!</v>
      </c>
      <c r="DQ81" s="34" t="e">
        <f>AND(#REF!,"AAAAAD529Xg=")</f>
        <v>#REF!</v>
      </c>
      <c r="DR81" s="34" t="e">
        <f>AND(#REF!,"AAAAAD529Xk=")</f>
        <v>#REF!</v>
      </c>
      <c r="DS81" s="34" t="e">
        <f>AND(#REF!,"AAAAAD529Xo=")</f>
        <v>#REF!</v>
      </c>
      <c r="DT81" s="34" t="e">
        <f>AND(#REF!,"AAAAAD529Xs=")</f>
        <v>#REF!</v>
      </c>
      <c r="DU81" s="34" t="e">
        <f>AND(#REF!,"AAAAAD529Xw=")</f>
        <v>#REF!</v>
      </c>
      <c r="DV81" s="34" t="e">
        <f>AND(#REF!,"AAAAAD529X0=")</f>
        <v>#REF!</v>
      </c>
      <c r="DW81" s="34" t="e">
        <f>AND(#REF!,"AAAAAD529X4=")</f>
        <v>#REF!</v>
      </c>
      <c r="DX81" s="34" t="e">
        <f>AND(#REF!,"AAAAAD529X8=")</f>
        <v>#REF!</v>
      </c>
      <c r="DY81" s="34" t="e">
        <f>AND(#REF!,"AAAAAD529YA=")</f>
        <v>#REF!</v>
      </c>
      <c r="DZ81" s="34" t="e">
        <f>AND(#REF!,"AAAAAD529YE=")</f>
        <v>#REF!</v>
      </c>
      <c r="EA81" s="34" t="e">
        <f>AND(#REF!,"AAAAAD529YI=")</f>
        <v>#REF!</v>
      </c>
      <c r="EB81" s="34" t="e">
        <f>AND(#REF!,"AAAAAD529YM=")</f>
        <v>#REF!</v>
      </c>
      <c r="EC81" s="34" t="e">
        <f>AND(#REF!,"AAAAAD529YQ=")</f>
        <v>#REF!</v>
      </c>
      <c r="ED81" s="34" t="e">
        <f>AND(#REF!,"AAAAAD529YU=")</f>
        <v>#REF!</v>
      </c>
      <c r="EE81" s="34" t="e">
        <f>AND(#REF!,"AAAAAD529YY=")</f>
        <v>#REF!</v>
      </c>
      <c r="EF81" s="34" t="e">
        <f>AND(#REF!,"AAAAAD529Yc=")</f>
        <v>#REF!</v>
      </c>
      <c r="EG81" s="34" t="e">
        <f>IF(#REF!,"AAAAAD529Yg=",0)</f>
        <v>#REF!</v>
      </c>
      <c r="EH81" s="34" t="e">
        <f>AND(#REF!,"AAAAAD529Yk=")</f>
        <v>#REF!</v>
      </c>
      <c r="EI81" s="34" t="e">
        <f>AND(#REF!,"AAAAAD529Yo=")</f>
        <v>#REF!</v>
      </c>
      <c r="EJ81" s="34" t="e">
        <f>AND(#REF!,"AAAAAD529Ys=")</f>
        <v>#REF!</v>
      </c>
      <c r="EK81" s="34" t="e">
        <f>AND(#REF!,"AAAAAD529Yw=")</f>
        <v>#REF!</v>
      </c>
      <c r="EL81" s="34" t="e">
        <f>AND(#REF!,"AAAAAD529Y0=")</f>
        <v>#REF!</v>
      </c>
      <c r="EM81" s="34" t="e">
        <f>AND(#REF!,"AAAAAD529Y4=")</f>
        <v>#REF!</v>
      </c>
      <c r="EN81" s="34" t="e">
        <f>AND(#REF!,"AAAAAD529Y8=")</f>
        <v>#REF!</v>
      </c>
      <c r="EO81" s="34" t="e">
        <f>AND(#REF!,"AAAAAD529ZA=")</f>
        <v>#REF!</v>
      </c>
      <c r="EP81" s="34" t="e">
        <f>AND(#REF!,"AAAAAD529ZE=")</f>
        <v>#REF!</v>
      </c>
      <c r="EQ81" s="34" t="e">
        <f>AND(#REF!,"AAAAAD529ZI=")</f>
        <v>#REF!</v>
      </c>
      <c r="ER81" s="34" t="e">
        <f>AND(#REF!,"AAAAAD529ZM=")</f>
        <v>#REF!</v>
      </c>
      <c r="ES81" s="34" t="e">
        <f>AND(#REF!,"AAAAAD529ZQ=")</f>
        <v>#REF!</v>
      </c>
      <c r="ET81" s="34" t="e">
        <f>AND(#REF!,"AAAAAD529ZU=")</f>
        <v>#REF!</v>
      </c>
      <c r="EU81" s="34" t="e">
        <f>AND(#REF!,"AAAAAD529ZY=")</f>
        <v>#REF!</v>
      </c>
      <c r="EV81" s="34" t="e">
        <f>AND(#REF!,"AAAAAD529Zc=")</f>
        <v>#REF!</v>
      </c>
      <c r="EW81" s="34" t="e">
        <f>AND(#REF!,"AAAAAD529Zg=")</f>
        <v>#REF!</v>
      </c>
      <c r="EX81" s="34" t="e">
        <f>IF(#REF!,"AAAAAD529Zk=",0)</f>
        <v>#REF!</v>
      </c>
      <c r="EY81" s="34" t="e">
        <f>AND(#REF!,"AAAAAD529Zo=")</f>
        <v>#REF!</v>
      </c>
      <c r="EZ81" s="34" t="e">
        <f>AND(#REF!,"AAAAAD529Zs=")</f>
        <v>#REF!</v>
      </c>
      <c r="FA81" s="34" t="e">
        <f>AND(#REF!,"AAAAAD529Zw=")</f>
        <v>#REF!</v>
      </c>
      <c r="FB81" s="34" t="e">
        <f>AND(#REF!,"AAAAAD529Z0=")</f>
        <v>#REF!</v>
      </c>
      <c r="FC81" s="34" t="e">
        <f>AND(#REF!,"AAAAAD529Z4=")</f>
        <v>#REF!</v>
      </c>
      <c r="FD81" s="34" t="e">
        <f>AND(#REF!,"AAAAAD529Z8=")</f>
        <v>#REF!</v>
      </c>
      <c r="FE81" s="34" t="e">
        <f>AND(#REF!,"AAAAAD529aA=")</f>
        <v>#REF!</v>
      </c>
      <c r="FF81" s="34" t="e">
        <f>AND(#REF!,"AAAAAD529aE=")</f>
        <v>#REF!</v>
      </c>
      <c r="FG81" s="34" t="e">
        <f>AND(#REF!,"AAAAAD529aI=")</f>
        <v>#REF!</v>
      </c>
      <c r="FH81" s="34" t="e">
        <f>AND(#REF!,"AAAAAD529aM=")</f>
        <v>#REF!</v>
      </c>
      <c r="FI81" s="34" t="e">
        <f>AND(#REF!,"AAAAAD529aQ=")</f>
        <v>#REF!</v>
      </c>
      <c r="FJ81" s="34" t="e">
        <f>AND(#REF!,"AAAAAD529aU=")</f>
        <v>#REF!</v>
      </c>
      <c r="FK81" s="34" t="e">
        <f>AND(#REF!,"AAAAAD529aY=")</f>
        <v>#REF!</v>
      </c>
      <c r="FL81" s="34" t="e">
        <f>AND(#REF!,"AAAAAD529ac=")</f>
        <v>#REF!</v>
      </c>
      <c r="FM81" s="34" t="e">
        <f>AND(#REF!,"AAAAAD529ag=")</f>
        <v>#REF!</v>
      </c>
      <c r="FN81" s="34" t="e">
        <f>AND(#REF!,"AAAAAD529ak=")</f>
        <v>#REF!</v>
      </c>
      <c r="FO81" s="34" t="e">
        <f>IF(#REF!,"AAAAAD529ao=",0)</f>
        <v>#REF!</v>
      </c>
      <c r="FP81" s="34" t="e">
        <f>AND(#REF!,"AAAAAD529as=")</f>
        <v>#REF!</v>
      </c>
      <c r="FQ81" s="34" t="e">
        <f>AND(#REF!,"AAAAAD529aw=")</f>
        <v>#REF!</v>
      </c>
      <c r="FR81" s="34" t="e">
        <f>AND(#REF!,"AAAAAD529a0=")</f>
        <v>#REF!</v>
      </c>
      <c r="FS81" s="34" t="e">
        <f>AND(#REF!,"AAAAAD529a4=")</f>
        <v>#REF!</v>
      </c>
      <c r="FT81" s="34" t="e">
        <f>AND(#REF!,"AAAAAD529a8=")</f>
        <v>#REF!</v>
      </c>
      <c r="FU81" s="34" t="e">
        <f>AND(#REF!,"AAAAAD529bA=")</f>
        <v>#REF!</v>
      </c>
      <c r="FV81" s="34" t="e">
        <f>AND(#REF!,"AAAAAD529bE=")</f>
        <v>#REF!</v>
      </c>
      <c r="FW81" s="34" t="e">
        <f>AND(#REF!,"AAAAAD529bI=")</f>
        <v>#REF!</v>
      </c>
      <c r="FX81" s="34" t="e">
        <f>AND(#REF!,"AAAAAD529bM=")</f>
        <v>#REF!</v>
      </c>
      <c r="FY81" s="34" t="e">
        <f>AND(#REF!,"AAAAAD529bQ=")</f>
        <v>#REF!</v>
      </c>
      <c r="FZ81" s="34" t="e">
        <f>AND(#REF!,"AAAAAD529bU=")</f>
        <v>#REF!</v>
      </c>
      <c r="GA81" s="34" t="e">
        <f>AND(#REF!,"AAAAAD529bY=")</f>
        <v>#REF!</v>
      </c>
      <c r="GB81" s="34" t="e">
        <f>AND(#REF!,"AAAAAD529bc=")</f>
        <v>#REF!</v>
      </c>
      <c r="GC81" s="34" t="e">
        <f>AND(#REF!,"AAAAAD529bg=")</f>
        <v>#REF!</v>
      </c>
      <c r="GD81" s="34" t="e">
        <f>AND(#REF!,"AAAAAD529bk=")</f>
        <v>#REF!</v>
      </c>
      <c r="GE81" s="34" t="e">
        <f>AND(#REF!,"AAAAAD529bo=")</f>
        <v>#REF!</v>
      </c>
      <c r="GF81" s="34" t="e">
        <f>IF(#REF!,"AAAAAD529bs=",0)</f>
        <v>#REF!</v>
      </c>
      <c r="GG81" s="34" t="e">
        <f>AND(#REF!,"AAAAAD529bw=")</f>
        <v>#REF!</v>
      </c>
      <c r="GH81" s="34" t="e">
        <f>AND(#REF!,"AAAAAD529b0=")</f>
        <v>#REF!</v>
      </c>
      <c r="GI81" s="34" t="e">
        <f>AND(#REF!,"AAAAAD529b4=")</f>
        <v>#REF!</v>
      </c>
      <c r="GJ81" s="34" t="e">
        <f>AND(#REF!,"AAAAAD529b8=")</f>
        <v>#REF!</v>
      </c>
      <c r="GK81" s="34" t="e">
        <f>AND(#REF!,"AAAAAD529cA=")</f>
        <v>#REF!</v>
      </c>
      <c r="GL81" s="34" t="e">
        <f>AND(#REF!,"AAAAAD529cE=")</f>
        <v>#REF!</v>
      </c>
      <c r="GM81" s="34" t="e">
        <f>AND(#REF!,"AAAAAD529cI=")</f>
        <v>#REF!</v>
      </c>
      <c r="GN81" s="34" t="e">
        <f>AND(#REF!,"AAAAAD529cM=")</f>
        <v>#REF!</v>
      </c>
      <c r="GO81" s="34" t="e">
        <f>AND(#REF!,"AAAAAD529cQ=")</f>
        <v>#REF!</v>
      </c>
      <c r="GP81" s="34" t="e">
        <f>AND(#REF!,"AAAAAD529cU=")</f>
        <v>#REF!</v>
      </c>
      <c r="GQ81" s="34" t="e">
        <f>AND(#REF!,"AAAAAD529cY=")</f>
        <v>#REF!</v>
      </c>
      <c r="GR81" s="34" t="e">
        <f>AND(#REF!,"AAAAAD529cc=")</f>
        <v>#REF!</v>
      </c>
      <c r="GS81" s="34" t="e">
        <f>AND(#REF!,"AAAAAD529cg=")</f>
        <v>#REF!</v>
      </c>
      <c r="GT81" s="34" t="e">
        <f>AND(#REF!,"AAAAAD529ck=")</f>
        <v>#REF!</v>
      </c>
      <c r="GU81" s="34" t="e">
        <f>AND(#REF!,"AAAAAD529co=")</f>
        <v>#REF!</v>
      </c>
      <c r="GV81" s="34" t="e">
        <f>AND(#REF!,"AAAAAD529cs=")</f>
        <v>#REF!</v>
      </c>
      <c r="GW81" s="34" t="e">
        <f>IF(#REF!,"AAAAAD529cw=",0)</f>
        <v>#REF!</v>
      </c>
      <c r="GX81" s="34" t="e">
        <f>AND(#REF!,"AAAAAD529c0=")</f>
        <v>#REF!</v>
      </c>
      <c r="GY81" s="34" t="e">
        <f>AND(#REF!,"AAAAAD529c4=")</f>
        <v>#REF!</v>
      </c>
      <c r="GZ81" s="34" t="e">
        <f>AND(#REF!,"AAAAAD529c8=")</f>
        <v>#REF!</v>
      </c>
      <c r="HA81" s="34" t="e">
        <f>AND(#REF!,"AAAAAD529dA=")</f>
        <v>#REF!</v>
      </c>
      <c r="HB81" s="34" t="e">
        <f>AND(#REF!,"AAAAAD529dE=")</f>
        <v>#REF!</v>
      </c>
      <c r="HC81" s="34" t="e">
        <f>AND(#REF!,"AAAAAD529dI=")</f>
        <v>#REF!</v>
      </c>
      <c r="HD81" s="34" t="e">
        <f>AND(#REF!,"AAAAAD529dM=")</f>
        <v>#REF!</v>
      </c>
      <c r="HE81" s="34" t="e">
        <f>AND(#REF!,"AAAAAD529dQ=")</f>
        <v>#REF!</v>
      </c>
      <c r="HF81" s="34" t="e">
        <f>AND(#REF!,"AAAAAD529dU=")</f>
        <v>#REF!</v>
      </c>
      <c r="HG81" s="34" t="e">
        <f>AND(#REF!,"AAAAAD529dY=")</f>
        <v>#REF!</v>
      </c>
      <c r="HH81" s="34" t="e">
        <f>AND(#REF!,"AAAAAD529dc=")</f>
        <v>#REF!</v>
      </c>
      <c r="HI81" s="34" t="e">
        <f>AND(#REF!,"AAAAAD529dg=")</f>
        <v>#REF!</v>
      </c>
      <c r="HJ81" s="34" t="e">
        <f>AND(#REF!,"AAAAAD529dk=")</f>
        <v>#REF!</v>
      </c>
      <c r="HK81" s="34" t="e">
        <f>AND(#REF!,"AAAAAD529do=")</f>
        <v>#REF!</v>
      </c>
      <c r="HL81" s="34" t="e">
        <f>AND(#REF!,"AAAAAD529ds=")</f>
        <v>#REF!</v>
      </c>
      <c r="HM81" s="34" t="e">
        <f>AND(#REF!,"AAAAAD529dw=")</f>
        <v>#REF!</v>
      </c>
      <c r="HN81" s="34" t="e">
        <f>IF(#REF!,"AAAAAD529d0=",0)</f>
        <v>#REF!</v>
      </c>
      <c r="HO81" s="34" t="e">
        <f>AND(#REF!,"AAAAAD529d4=")</f>
        <v>#REF!</v>
      </c>
      <c r="HP81" s="34" t="e">
        <f>AND(#REF!,"AAAAAD529d8=")</f>
        <v>#REF!</v>
      </c>
      <c r="HQ81" s="34" t="e">
        <f>AND(#REF!,"AAAAAD529eA=")</f>
        <v>#REF!</v>
      </c>
      <c r="HR81" s="34" t="e">
        <f>AND(#REF!,"AAAAAD529eE=")</f>
        <v>#REF!</v>
      </c>
      <c r="HS81" s="34" t="e">
        <f>AND(#REF!,"AAAAAD529eI=")</f>
        <v>#REF!</v>
      </c>
      <c r="HT81" s="34" t="e">
        <f>AND(#REF!,"AAAAAD529eM=")</f>
        <v>#REF!</v>
      </c>
      <c r="HU81" s="34" t="e">
        <f>AND(#REF!,"AAAAAD529eQ=")</f>
        <v>#REF!</v>
      </c>
      <c r="HV81" s="34" t="e">
        <f>AND(#REF!,"AAAAAD529eU=")</f>
        <v>#REF!</v>
      </c>
      <c r="HW81" s="34" t="e">
        <f>AND(#REF!,"AAAAAD529eY=")</f>
        <v>#REF!</v>
      </c>
      <c r="HX81" s="34" t="e">
        <f>AND(#REF!,"AAAAAD529ec=")</f>
        <v>#REF!</v>
      </c>
      <c r="HY81" s="34" t="e">
        <f>AND(#REF!,"AAAAAD529eg=")</f>
        <v>#REF!</v>
      </c>
      <c r="HZ81" s="34" t="e">
        <f>AND(#REF!,"AAAAAD529ek=")</f>
        <v>#REF!</v>
      </c>
      <c r="IA81" s="34" t="e">
        <f>AND(#REF!,"AAAAAD529eo=")</f>
        <v>#REF!</v>
      </c>
      <c r="IB81" s="34" t="e">
        <f>AND(#REF!,"AAAAAD529es=")</f>
        <v>#REF!</v>
      </c>
      <c r="IC81" s="34" t="e">
        <f>AND(#REF!,"AAAAAD529ew=")</f>
        <v>#REF!</v>
      </c>
      <c r="ID81" s="34" t="e">
        <f>AND(#REF!,"AAAAAD529e0=")</f>
        <v>#REF!</v>
      </c>
      <c r="IE81" s="34" t="e">
        <f>IF(#REF!,"AAAAAD529e4=",0)</f>
        <v>#REF!</v>
      </c>
      <c r="IF81" s="34" t="e">
        <f>AND(#REF!,"AAAAAD529e8=")</f>
        <v>#REF!</v>
      </c>
      <c r="IG81" s="34" t="e">
        <f>AND(#REF!,"AAAAAD529fA=")</f>
        <v>#REF!</v>
      </c>
      <c r="IH81" s="34" t="e">
        <f>AND(#REF!,"AAAAAD529fE=")</f>
        <v>#REF!</v>
      </c>
      <c r="II81" s="34" t="e">
        <f>AND(#REF!,"AAAAAD529fI=")</f>
        <v>#REF!</v>
      </c>
      <c r="IJ81" s="34" t="e">
        <f>AND(#REF!,"AAAAAD529fM=")</f>
        <v>#REF!</v>
      </c>
      <c r="IK81" s="34" t="e">
        <f>AND(#REF!,"AAAAAD529fQ=")</f>
        <v>#REF!</v>
      </c>
      <c r="IL81" s="34" t="e">
        <f>AND(#REF!,"AAAAAD529fU=")</f>
        <v>#REF!</v>
      </c>
      <c r="IM81" s="34" t="e">
        <f>AND(#REF!,"AAAAAD529fY=")</f>
        <v>#REF!</v>
      </c>
      <c r="IN81" s="34" t="e">
        <f>AND(#REF!,"AAAAAD529fc=")</f>
        <v>#REF!</v>
      </c>
      <c r="IO81" s="34" t="e">
        <f>AND(#REF!,"AAAAAD529fg=")</f>
        <v>#REF!</v>
      </c>
      <c r="IP81" s="34" t="e">
        <f>AND(#REF!,"AAAAAD529fk=")</f>
        <v>#REF!</v>
      </c>
      <c r="IQ81" s="34" t="e">
        <f>AND(#REF!,"AAAAAD529fo=")</f>
        <v>#REF!</v>
      </c>
      <c r="IR81" s="34" t="e">
        <f>AND(#REF!,"AAAAAD529fs=")</f>
        <v>#REF!</v>
      </c>
      <c r="IS81" s="34" t="e">
        <f>AND(#REF!,"AAAAAD529fw=")</f>
        <v>#REF!</v>
      </c>
      <c r="IT81" s="34" t="e">
        <f>AND(#REF!,"AAAAAD529f0=")</f>
        <v>#REF!</v>
      </c>
      <c r="IU81" s="34" t="e">
        <f>AND(#REF!,"AAAAAD529f4=")</f>
        <v>#REF!</v>
      </c>
      <c r="IV81" s="34" t="e">
        <f>IF(#REF!,"AAAAAD529f8=",0)</f>
        <v>#REF!</v>
      </c>
    </row>
    <row r="82" spans="1:256" ht="12.75" customHeight="1" x14ac:dyDescent="0.2">
      <c r="A82" s="34" t="e">
        <f>AND(#REF!,"AAAAAGW1uwA=")</f>
        <v>#REF!</v>
      </c>
      <c r="B82" s="34" t="e">
        <f>AND(#REF!,"AAAAAGW1uwE=")</f>
        <v>#REF!</v>
      </c>
      <c r="C82" s="34" t="e">
        <f>AND(#REF!,"AAAAAGW1uwI=")</f>
        <v>#REF!</v>
      </c>
      <c r="D82" s="34" t="e">
        <f>AND(#REF!,"AAAAAGW1uwM=")</f>
        <v>#REF!</v>
      </c>
      <c r="E82" s="34" t="e">
        <f>AND(#REF!,"AAAAAGW1uwQ=")</f>
        <v>#REF!</v>
      </c>
      <c r="F82" s="34" t="e">
        <f>AND(#REF!,"AAAAAGW1uwU=")</f>
        <v>#REF!</v>
      </c>
      <c r="G82" s="34" t="e">
        <f>AND(#REF!,"AAAAAGW1uwY=")</f>
        <v>#REF!</v>
      </c>
      <c r="H82" s="34" t="e">
        <f>AND(#REF!,"AAAAAGW1uwc=")</f>
        <v>#REF!</v>
      </c>
      <c r="I82" s="34" t="e">
        <f>AND(#REF!,"AAAAAGW1uwg=")</f>
        <v>#REF!</v>
      </c>
      <c r="J82" s="34" t="e">
        <f>AND(#REF!,"AAAAAGW1uwk=")</f>
        <v>#REF!</v>
      </c>
      <c r="K82" s="34" t="e">
        <f>AND(#REF!,"AAAAAGW1uwo=")</f>
        <v>#REF!</v>
      </c>
      <c r="L82" s="34" t="e">
        <f>AND(#REF!,"AAAAAGW1uws=")</f>
        <v>#REF!</v>
      </c>
      <c r="M82" s="34" t="e">
        <f>AND(#REF!,"AAAAAGW1uww=")</f>
        <v>#REF!</v>
      </c>
      <c r="N82" s="34" t="e">
        <f>AND(#REF!,"AAAAAGW1uw0=")</f>
        <v>#REF!</v>
      </c>
      <c r="O82" s="34" t="e">
        <f>AND(#REF!,"AAAAAGW1uw4=")</f>
        <v>#REF!</v>
      </c>
      <c r="P82" s="34" t="e">
        <f>AND(#REF!,"AAAAAGW1uw8=")</f>
        <v>#REF!</v>
      </c>
      <c r="Q82" s="34" t="e">
        <f>IF(#REF!,"AAAAAGW1uxA=",0)</f>
        <v>#REF!</v>
      </c>
      <c r="R82" s="34" t="e">
        <f>AND(#REF!,"AAAAAGW1uxE=")</f>
        <v>#REF!</v>
      </c>
      <c r="S82" s="34" t="e">
        <f>AND(#REF!,"AAAAAGW1uxI=")</f>
        <v>#REF!</v>
      </c>
      <c r="T82" s="34" t="e">
        <f>AND(#REF!,"AAAAAGW1uxM=")</f>
        <v>#REF!</v>
      </c>
      <c r="U82" s="34" t="e">
        <f>AND(#REF!,"AAAAAGW1uxQ=")</f>
        <v>#REF!</v>
      </c>
      <c r="V82" s="34" t="e">
        <f>AND(#REF!,"AAAAAGW1uxU=")</f>
        <v>#REF!</v>
      </c>
      <c r="W82" s="34" t="e">
        <f>AND(#REF!,"AAAAAGW1uxY=")</f>
        <v>#REF!</v>
      </c>
      <c r="X82" s="34" t="e">
        <f>AND(#REF!,"AAAAAGW1uxc=")</f>
        <v>#REF!</v>
      </c>
      <c r="Y82" s="34" t="e">
        <f>AND(#REF!,"AAAAAGW1uxg=")</f>
        <v>#REF!</v>
      </c>
      <c r="Z82" s="34" t="e">
        <f>AND(#REF!,"AAAAAGW1uxk=")</f>
        <v>#REF!</v>
      </c>
      <c r="AA82" s="34" t="e">
        <f>AND(#REF!,"AAAAAGW1uxo=")</f>
        <v>#REF!</v>
      </c>
      <c r="AB82" s="34" t="e">
        <f>AND(#REF!,"AAAAAGW1uxs=")</f>
        <v>#REF!</v>
      </c>
      <c r="AC82" s="34" t="e">
        <f>AND(#REF!,"AAAAAGW1uxw=")</f>
        <v>#REF!</v>
      </c>
      <c r="AD82" s="34" t="e">
        <f>AND(#REF!,"AAAAAGW1ux0=")</f>
        <v>#REF!</v>
      </c>
      <c r="AE82" s="34" t="e">
        <f>AND(#REF!,"AAAAAGW1ux4=")</f>
        <v>#REF!</v>
      </c>
      <c r="AF82" s="34" t="e">
        <f>AND(#REF!,"AAAAAGW1ux8=")</f>
        <v>#REF!</v>
      </c>
      <c r="AG82" s="34" t="e">
        <f>AND(#REF!,"AAAAAGW1uyA=")</f>
        <v>#REF!</v>
      </c>
      <c r="AH82" s="34" t="e">
        <f>IF(#REF!,"AAAAAGW1uyE=",0)</f>
        <v>#REF!</v>
      </c>
      <c r="AI82" s="34" t="e">
        <f>AND(#REF!,"AAAAAGW1uyI=")</f>
        <v>#REF!</v>
      </c>
      <c r="AJ82" s="34" t="e">
        <f>AND(#REF!,"AAAAAGW1uyM=")</f>
        <v>#REF!</v>
      </c>
      <c r="AK82" s="34" t="e">
        <f>AND(#REF!,"AAAAAGW1uyQ=")</f>
        <v>#REF!</v>
      </c>
      <c r="AL82" s="34" t="e">
        <f>AND(#REF!,"AAAAAGW1uyU=")</f>
        <v>#REF!</v>
      </c>
      <c r="AM82" s="34" t="e">
        <f>AND(#REF!,"AAAAAGW1uyY=")</f>
        <v>#REF!</v>
      </c>
      <c r="AN82" s="34" t="e">
        <f>AND(#REF!,"AAAAAGW1uyc=")</f>
        <v>#REF!</v>
      </c>
      <c r="AO82" s="34" t="e">
        <f>AND(#REF!,"AAAAAGW1uyg=")</f>
        <v>#REF!</v>
      </c>
      <c r="AP82" s="34" t="e">
        <f>AND(#REF!,"AAAAAGW1uyk=")</f>
        <v>#REF!</v>
      </c>
      <c r="AQ82" s="34" t="e">
        <f>AND(#REF!,"AAAAAGW1uyo=")</f>
        <v>#REF!</v>
      </c>
      <c r="AR82" s="34" t="e">
        <f>AND(#REF!,"AAAAAGW1uys=")</f>
        <v>#REF!</v>
      </c>
      <c r="AS82" s="34" t="e">
        <f>AND(#REF!,"AAAAAGW1uyw=")</f>
        <v>#REF!</v>
      </c>
      <c r="AT82" s="34" t="e">
        <f>AND(#REF!,"AAAAAGW1uy0=")</f>
        <v>#REF!</v>
      </c>
      <c r="AU82" s="34" t="e">
        <f>AND(#REF!,"AAAAAGW1uy4=")</f>
        <v>#REF!</v>
      </c>
      <c r="AV82" s="34" t="e">
        <f>AND(#REF!,"AAAAAGW1uy8=")</f>
        <v>#REF!</v>
      </c>
      <c r="AW82" s="34" t="e">
        <f>AND(#REF!,"AAAAAGW1uzA=")</f>
        <v>#REF!</v>
      </c>
      <c r="AX82" s="34" t="e">
        <f>AND(#REF!,"AAAAAGW1uzE=")</f>
        <v>#REF!</v>
      </c>
      <c r="AY82" s="34" t="e">
        <f>IF(#REF!,"AAAAAGW1uzI=",0)</f>
        <v>#REF!</v>
      </c>
      <c r="AZ82" s="34" t="e">
        <f>AND(#REF!,"AAAAAGW1uzM=")</f>
        <v>#REF!</v>
      </c>
      <c r="BA82" s="34" t="e">
        <f>AND(#REF!,"AAAAAGW1uzQ=")</f>
        <v>#REF!</v>
      </c>
      <c r="BB82" s="34" t="e">
        <f>AND(#REF!,"AAAAAGW1uzU=")</f>
        <v>#REF!</v>
      </c>
      <c r="BC82" s="34" t="e">
        <f>AND(#REF!,"AAAAAGW1uzY=")</f>
        <v>#REF!</v>
      </c>
      <c r="BD82" s="34" t="e">
        <f>AND(#REF!,"AAAAAGW1uzc=")</f>
        <v>#REF!</v>
      </c>
      <c r="BE82" s="34" t="e">
        <f>AND(#REF!,"AAAAAGW1uzg=")</f>
        <v>#REF!</v>
      </c>
      <c r="BF82" s="34" t="e">
        <f>AND(#REF!,"AAAAAGW1uzk=")</f>
        <v>#REF!</v>
      </c>
      <c r="BG82" s="34" t="e">
        <f>AND(#REF!,"AAAAAGW1uzo=")</f>
        <v>#REF!</v>
      </c>
      <c r="BH82" s="34" t="e">
        <f>AND(#REF!,"AAAAAGW1uzs=")</f>
        <v>#REF!</v>
      </c>
      <c r="BI82" s="34" t="e">
        <f>AND(#REF!,"AAAAAGW1uzw=")</f>
        <v>#REF!</v>
      </c>
      <c r="BJ82" s="34" t="e">
        <f>AND(#REF!,"AAAAAGW1uz0=")</f>
        <v>#REF!</v>
      </c>
      <c r="BK82" s="34" t="e">
        <f>AND(#REF!,"AAAAAGW1uz4=")</f>
        <v>#REF!</v>
      </c>
      <c r="BL82" s="34" t="e">
        <f>AND(#REF!,"AAAAAGW1uz8=")</f>
        <v>#REF!</v>
      </c>
      <c r="BM82" s="34" t="e">
        <f>AND(#REF!,"AAAAAGW1u0A=")</f>
        <v>#REF!</v>
      </c>
      <c r="BN82" s="34" t="e">
        <f>AND(#REF!,"AAAAAGW1u0E=")</f>
        <v>#REF!</v>
      </c>
      <c r="BO82" s="34" t="e">
        <f>AND(#REF!,"AAAAAGW1u0I=")</f>
        <v>#REF!</v>
      </c>
      <c r="BP82" s="34" t="e">
        <f>IF(#REF!,"AAAAAGW1u0M=",0)</f>
        <v>#REF!</v>
      </c>
      <c r="BQ82" s="34" t="e">
        <f>AND(#REF!,"AAAAAGW1u0Q=")</f>
        <v>#REF!</v>
      </c>
      <c r="BR82" s="34" t="e">
        <f>AND(#REF!,"AAAAAGW1u0U=")</f>
        <v>#REF!</v>
      </c>
      <c r="BS82" s="34" t="e">
        <f>AND(#REF!,"AAAAAGW1u0Y=")</f>
        <v>#REF!</v>
      </c>
      <c r="BT82" s="34" t="e">
        <f>AND(#REF!,"AAAAAGW1u0c=")</f>
        <v>#REF!</v>
      </c>
      <c r="BU82" s="34" t="e">
        <f>AND(#REF!,"AAAAAGW1u0g=")</f>
        <v>#REF!</v>
      </c>
      <c r="BV82" s="34" t="e">
        <f>AND(#REF!,"AAAAAGW1u0k=")</f>
        <v>#REF!</v>
      </c>
      <c r="BW82" s="34" t="e">
        <f>AND(#REF!,"AAAAAGW1u0o=")</f>
        <v>#REF!</v>
      </c>
      <c r="BX82" s="34" t="e">
        <f>AND(#REF!,"AAAAAGW1u0s=")</f>
        <v>#REF!</v>
      </c>
      <c r="BY82" s="34" t="e">
        <f>AND(#REF!,"AAAAAGW1u0w=")</f>
        <v>#REF!</v>
      </c>
      <c r="BZ82" s="34" t="e">
        <f>AND(#REF!,"AAAAAGW1u00=")</f>
        <v>#REF!</v>
      </c>
      <c r="CA82" s="34" t="e">
        <f>AND(#REF!,"AAAAAGW1u04=")</f>
        <v>#REF!</v>
      </c>
      <c r="CB82" s="34" t="e">
        <f>AND(#REF!,"AAAAAGW1u08=")</f>
        <v>#REF!</v>
      </c>
      <c r="CC82" s="34" t="e">
        <f>AND(#REF!,"AAAAAGW1u1A=")</f>
        <v>#REF!</v>
      </c>
      <c r="CD82" s="34" t="e">
        <f>AND(#REF!,"AAAAAGW1u1E=")</f>
        <v>#REF!</v>
      </c>
      <c r="CE82" s="34" t="e">
        <f>AND(#REF!,"AAAAAGW1u1I=")</f>
        <v>#REF!</v>
      </c>
      <c r="CF82" s="34" t="e">
        <f>AND(#REF!,"AAAAAGW1u1M=")</f>
        <v>#REF!</v>
      </c>
      <c r="CG82" s="34" t="e">
        <f>IF(#REF!,"AAAAAGW1u1Q=",0)</f>
        <v>#REF!</v>
      </c>
      <c r="CH82" s="34" t="e">
        <f>AND(#REF!,"AAAAAGW1u1U=")</f>
        <v>#REF!</v>
      </c>
      <c r="CI82" s="34" t="e">
        <f>AND(#REF!,"AAAAAGW1u1Y=")</f>
        <v>#REF!</v>
      </c>
      <c r="CJ82" s="34" t="e">
        <f>AND(#REF!,"AAAAAGW1u1c=")</f>
        <v>#REF!</v>
      </c>
      <c r="CK82" s="34" t="e">
        <f>AND(#REF!,"AAAAAGW1u1g=")</f>
        <v>#REF!</v>
      </c>
      <c r="CL82" s="34" t="e">
        <f>AND(#REF!,"AAAAAGW1u1k=")</f>
        <v>#REF!</v>
      </c>
      <c r="CM82" s="34" t="e">
        <f>AND(#REF!,"AAAAAGW1u1o=")</f>
        <v>#REF!</v>
      </c>
      <c r="CN82" s="34" t="e">
        <f>AND(#REF!,"AAAAAGW1u1s=")</f>
        <v>#REF!</v>
      </c>
      <c r="CO82" s="34" t="e">
        <f>AND(#REF!,"AAAAAGW1u1w=")</f>
        <v>#REF!</v>
      </c>
      <c r="CP82" s="34" t="e">
        <f>AND(#REF!,"AAAAAGW1u10=")</f>
        <v>#REF!</v>
      </c>
      <c r="CQ82" s="34" t="e">
        <f>AND(#REF!,"AAAAAGW1u14=")</f>
        <v>#REF!</v>
      </c>
      <c r="CR82" s="34" t="e">
        <f>AND(#REF!,"AAAAAGW1u18=")</f>
        <v>#REF!</v>
      </c>
      <c r="CS82" s="34" t="e">
        <f>AND(#REF!,"AAAAAGW1u2A=")</f>
        <v>#REF!</v>
      </c>
      <c r="CT82" s="34" t="e">
        <f>AND(#REF!,"AAAAAGW1u2E=")</f>
        <v>#REF!</v>
      </c>
      <c r="CU82" s="34" t="e">
        <f>AND(#REF!,"AAAAAGW1u2I=")</f>
        <v>#REF!</v>
      </c>
      <c r="CV82" s="34" t="e">
        <f>AND(#REF!,"AAAAAGW1u2M=")</f>
        <v>#REF!</v>
      </c>
      <c r="CW82" s="34" t="e">
        <f>AND(#REF!,"AAAAAGW1u2Q=")</f>
        <v>#REF!</v>
      </c>
      <c r="CX82" s="34" t="e">
        <f>IF(#REF!,"AAAAAGW1u2U=",0)</f>
        <v>#REF!</v>
      </c>
      <c r="CY82" s="34" t="e">
        <f>AND(#REF!,"AAAAAGW1u2Y=")</f>
        <v>#REF!</v>
      </c>
      <c r="CZ82" s="34" t="e">
        <f>AND(#REF!,"AAAAAGW1u2c=")</f>
        <v>#REF!</v>
      </c>
      <c r="DA82" s="34" t="e">
        <f>AND(#REF!,"AAAAAGW1u2g=")</f>
        <v>#REF!</v>
      </c>
      <c r="DB82" s="34" t="e">
        <f>AND(#REF!,"AAAAAGW1u2k=")</f>
        <v>#REF!</v>
      </c>
      <c r="DC82" s="34" t="e">
        <f>AND(#REF!,"AAAAAGW1u2o=")</f>
        <v>#REF!</v>
      </c>
      <c r="DD82" s="34" t="e">
        <f>AND(#REF!,"AAAAAGW1u2s=")</f>
        <v>#REF!</v>
      </c>
      <c r="DE82" s="34" t="e">
        <f>AND(#REF!,"AAAAAGW1u2w=")</f>
        <v>#REF!</v>
      </c>
      <c r="DF82" s="34" t="e">
        <f>AND(#REF!,"AAAAAGW1u20=")</f>
        <v>#REF!</v>
      </c>
      <c r="DG82" s="34" t="e">
        <f>AND(#REF!,"AAAAAGW1u24=")</f>
        <v>#REF!</v>
      </c>
      <c r="DH82" s="34" t="e">
        <f>AND(#REF!,"AAAAAGW1u28=")</f>
        <v>#REF!</v>
      </c>
      <c r="DI82" s="34" t="e">
        <f>AND(#REF!,"AAAAAGW1u3A=")</f>
        <v>#REF!</v>
      </c>
      <c r="DJ82" s="34" t="e">
        <f>AND(#REF!,"AAAAAGW1u3E=")</f>
        <v>#REF!</v>
      </c>
      <c r="DK82" s="34" t="e">
        <f>AND(#REF!,"AAAAAGW1u3I=")</f>
        <v>#REF!</v>
      </c>
      <c r="DL82" s="34" t="e">
        <f>AND(#REF!,"AAAAAGW1u3M=")</f>
        <v>#REF!</v>
      </c>
      <c r="DM82" s="34" t="e">
        <f>AND(#REF!,"AAAAAGW1u3Q=")</f>
        <v>#REF!</v>
      </c>
      <c r="DN82" s="34" t="e">
        <f>AND(#REF!,"AAAAAGW1u3U=")</f>
        <v>#REF!</v>
      </c>
      <c r="DO82" s="34" t="e">
        <f>IF(#REF!,"AAAAAGW1u3Y=",0)</f>
        <v>#REF!</v>
      </c>
      <c r="DP82" s="34" t="e">
        <f>AND(#REF!,"AAAAAGW1u3c=")</f>
        <v>#REF!</v>
      </c>
      <c r="DQ82" s="34" t="e">
        <f>AND(#REF!,"AAAAAGW1u3g=")</f>
        <v>#REF!</v>
      </c>
      <c r="DR82" s="34" t="e">
        <f>AND(#REF!,"AAAAAGW1u3k=")</f>
        <v>#REF!</v>
      </c>
      <c r="DS82" s="34" t="e">
        <f>AND(#REF!,"AAAAAGW1u3o=")</f>
        <v>#REF!</v>
      </c>
      <c r="DT82" s="34" t="e">
        <f>AND(#REF!,"AAAAAGW1u3s=")</f>
        <v>#REF!</v>
      </c>
      <c r="DU82" s="34" t="e">
        <f>AND(#REF!,"AAAAAGW1u3w=")</f>
        <v>#REF!</v>
      </c>
      <c r="DV82" s="34" t="e">
        <f>AND(#REF!,"AAAAAGW1u30=")</f>
        <v>#REF!</v>
      </c>
      <c r="DW82" s="34" t="e">
        <f>AND(#REF!,"AAAAAGW1u34=")</f>
        <v>#REF!</v>
      </c>
      <c r="DX82" s="34" t="e">
        <f>AND(#REF!,"AAAAAGW1u38=")</f>
        <v>#REF!</v>
      </c>
      <c r="DY82" s="34" t="e">
        <f>AND(#REF!,"AAAAAGW1u4A=")</f>
        <v>#REF!</v>
      </c>
      <c r="DZ82" s="34" t="e">
        <f>AND(#REF!,"AAAAAGW1u4E=")</f>
        <v>#REF!</v>
      </c>
      <c r="EA82" s="34" t="e">
        <f>AND(#REF!,"AAAAAGW1u4I=")</f>
        <v>#REF!</v>
      </c>
      <c r="EB82" s="34" t="e">
        <f>AND(#REF!,"AAAAAGW1u4M=")</f>
        <v>#REF!</v>
      </c>
      <c r="EC82" s="34" t="e">
        <f>AND(#REF!,"AAAAAGW1u4Q=")</f>
        <v>#REF!</v>
      </c>
      <c r="ED82" s="34" t="e">
        <f>AND(#REF!,"AAAAAGW1u4U=")</f>
        <v>#REF!</v>
      </c>
      <c r="EE82" s="34" t="e">
        <f>AND(#REF!,"AAAAAGW1u4Y=")</f>
        <v>#REF!</v>
      </c>
      <c r="EF82" s="34" t="e">
        <f>IF(#REF!,"AAAAAGW1u4c=",0)</f>
        <v>#REF!</v>
      </c>
      <c r="EG82" s="34" t="e">
        <f>AND(#REF!,"AAAAAGW1u4g=")</f>
        <v>#REF!</v>
      </c>
      <c r="EH82" s="34" t="e">
        <f>AND(#REF!,"AAAAAGW1u4k=")</f>
        <v>#REF!</v>
      </c>
      <c r="EI82" s="34" t="e">
        <f>AND(#REF!,"AAAAAGW1u4o=")</f>
        <v>#REF!</v>
      </c>
      <c r="EJ82" s="34" t="e">
        <f>AND(#REF!,"AAAAAGW1u4s=")</f>
        <v>#REF!</v>
      </c>
      <c r="EK82" s="34" t="e">
        <f>AND(#REF!,"AAAAAGW1u4w=")</f>
        <v>#REF!</v>
      </c>
      <c r="EL82" s="34" t="e">
        <f>AND(#REF!,"AAAAAGW1u40=")</f>
        <v>#REF!</v>
      </c>
      <c r="EM82" s="34" t="e">
        <f>AND(#REF!,"AAAAAGW1u44=")</f>
        <v>#REF!</v>
      </c>
      <c r="EN82" s="34" t="e">
        <f>AND(#REF!,"AAAAAGW1u48=")</f>
        <v>#REF!</v>
      </c>
      <c r="EO82" s="34" t="e">
        <f>AND(#REF!,"AAAAAGW1u5A=")</f>
        <v>#REF!</v>
      </c>
      <c r="EP82" s="34" t="e">
        <f>AND(#REF!,"AAAAAGW1u5E=")</f>
        <v>#REF!</v>
      </c>
      <c r="EQ82" s="34" t="e">
        <f>AND(#REF!,"AAAAAGW1u5I=")</f>
        <v>#REF!</v>
      </c>
      <c r="ER82" s="34" t="e">
        <f>AND(#REF!,"AAAAAGW1u5M=")</f>
        <v>#REF!</v>
      </c>
      <c r="ES82" s="34" t="e">
        <f>AND(#REF!,"AAAAAGW1u5Q=")</f>
        <v>#REF!</v>
      </c>
      <c r="ET82" s="34" t="e">
        <f>AND(#REF!,"AAAAAGW1u5U=")</f>
        <v>#REF!</v>
      </c>
      <c r="EU82" s="34" t="e">
        <f>AND(#REF!,"AAAAAGW1u5Y=")</f>
        <v>#REF!</v>
      </c>
      <c r="EV82" s="34" t="e">
        <f>AND(#REF!,"AAAAAGW1u5c=")</f>
        <v>#REF!</v>
      </c>
      <c r="EW82" s="34" t="e">
        <f>IF(#REF!,"AAAAAGW1u5g=",0)</f>
        <v>#REF!</v>
      </c>
      <c r="EX82" s="34" t="e">
        <f>AND(#REF!,"AAAAAGW1u5k=")</f>
        <v>#REF!</v>
      </c>
      <c r="EY82" s="34" t="e">
        <f>AND(#REF!,"AAAAAGW1u5o=")</f>
        <v>#REF!</v>
      </c>
      <c r="EZ82" s="34" t="e">
        <f>AND(#REF!,"AAAAAGW1u5s=")</f>
        <v>#REF!</v>
      </c>
      <c r="FA82" s="34" t="e">
        <f>AND(#REF!,"AAAAAGW1u5w=")</f>
        <v>#REF!</v>
      </c>
      <c r="FB82" s="34" t="e">
        <f>AND(#REF!,"AAAAAGW1u50=")</f>
        <v>#REF!</v>
      </c>
      <c r="FC82" s="34" t="e">
        <f>AND(#REF!,"AAAAAGW1u54=")</f>
        <v>#REF!</v>
      </c>
      <c r="FD82" s="34" t="e">
        <f>AND(#REF!,"AAAAAGW1u58=")</f>
        <v>#REF!</v>
      </c>
      <c r="FE82" s="34" t="e">
        <f>AND(#REF!,"AAAAAGW1u6A=")</f>
        <v>#REF!</v>
      </c>
      <c r="FF82" s="34" t="e">
        <f>AND(#REF!,"AAAAAGW1u6E=")</f>
        <v>#REF!</v>
      </c>
      <c r="FG82" s="34" t="e">
        <f>AND(#REF!,"AAAAAGW1u6I=")</f>
        <v>#REF!</v>
      </c>
      <c r="FH82" s="34" t="e">
        <f>AND(#REF!,"AAAAAGW1u6M=")</f>
        <v>#REF!</v>
      </c>
      <c r="FI82" s="34" t="e">
        <f>AND(#REF!,"AAAAAGW1u6Q=")</f>
        <v>#REF!</v>
      </c>
      <c r="FJ82" s="34" t="e">
        <f>AND(#REF!,"AAAAAGW1u6U=")</f>
        <v>#REF!</v>
      </c>
      <c r="FK82" s="34" t="e">
        <f>AND(#REF!,"AAAAAGW1u6Y=")</f>
        <v>#REF!</v>
      </c>
      <c r="FL82" s="34" t="e">
        <f>AND(#REF!,"AAAAAGW1u6c=")</f>
        <v>#REF!</v>
      </c>
      <c r="FM82" s="34" t="e">
        <f>AND(#REF!,"AAAAAGW1u6g=")</f>
        <v>#REF!</v>
      </c>
      <c r="FN82" s="34" t="e">
        <f>IF(#REF!,"AAAAAGW1u6k=",0)</f>
        <v>#REF!</v>
      </c>
      <c r="FO82" s="34" t="e">
        <f>AND(#REF!,"AAAAAGW1u6o=")</f>
        <v>#REF!</v>
      </c>
      <c r="FP82" s="34" t="e">
        <f>AND(#REF!,"AAAAAGW1u6s=")</f>
        <v>#REF!</v>
      </c>
      <c r="FQ82" s="34" t="e">
        <f>AND(#REF!,"AAAAAGW1u6w=")</f>
        <v>#REF!</v>
      </c>
      <c r="FR82" s="34" t="e">
        <f>AND(#REF!,"AAAAAGW1u60=")</f>
        <v>#REF!</v>
      </c>
      <c r="FS82" s="34" t="e">
        <f>AND(#REF!,"AAAAAGW1u64=")</f>
        <v>#REF!</v>
      </c>
      <c r="FT82" s="34" t="e">
        <f>AND(#REF!,"AAAAAGW1u68=")</f>
        <v>#REF!</v>
      </c>
      <c r="FU82" s="34" t="e">
        <f>AND(#REF!,"AAAAAGW1u7A=")</f>
        <v>#REF!</v>
      </c>
      <c r="FV82" s="34" t="e">
        <f>AND(#REF!,"AAAAAGW1u7E=")</f>
        <v>#REF!</v>
      </c>
      <c r="FW82" s="34" t="e">
        <f>AND(#REF!,"AAAAAGW1u7I=")</f>
        <v>#REF!</v>
      </c>
      <c r="FX82" s="34" t="e">
        <f>AND(#REF!,"AAAAAGW1u7M=")</f>
        <v>#REF!</v>
      </c>
      <c r="FY82" s="34" t="e">
        <f>AND(#REF!,"AAAAAGW1u7Q=")</f>
        <v>#REF!</v>
      </c>
      <c r="FZ82" s="34" t="e">
        <f>AND(#REF!,"AAAAAGW1u7U=")</f>
        <v>#REF!</v>
      </c>
      <c r="GA82" s="34" t="e">
        <f>AND(#REF!,"AAAAAGW1u7Y=")</f>
        <v>#REF!</v>
      </c>
      <c r="GB82" s="34" t="e">
        <f>AND(#REF!,"AAAAAGW1u7c=")</f>
        <v>#REF!</v>
      </c>
      <c r="GC82" s="34" t="e">
        <f>AND(#REF!,"AAAAAGW1u7g=")</f>
        <v>#REF!</v>
      </c>
      <c r="GD82" s="34" t="e">
        <f>AND(#REF!,"AAAAAGW1u7k=")</f>
        <v>#REF!</v>
      </c>
      <c r="GE82" s="34" t="e">
        <f>IF(#REF!,"AAAAAGW1u7o=",0)</f>
        <v>#REF!</v>
      </c>
      <c r="GF82" s="34" t="e">
        <f>AND(#REF!,"AAAAAGW1u7s=")</f>
        <v>#REF!</v>
      </c>
      <c r="GG82" s="34" t="e">
        <f>AND(#REF!,"AAAAAGW1u7w=")</f>
        <v>#REF!</v>
      </c>
      <c r="GH82" s="34" t="e">
        <f>AND(#REF!,"AAAAAGW1u70=")</f>
        <v>#REF!</v>
      </c>
      <c r="GI82" s="34" t="e">
        <f>AND(#REF!,"AAAAAGW1u74=")</f>
        <v>#REF!</v>
      </c>
      <c r="GJ82" s="34" t="e">
        <f>AND(#REF!,"AAAAAGW1u78=")</f>
        <v>#REF!</v>
      </c>
      <c r="GK82" s="34" t="e">
        <f>AND(#REF!,"AAAAAGW1u8A=")</f>
        <v>#REF!</v>
      </c>
      <c r="GL82" s="34" t="e">
        <f>AND(#REF!,"AAAAAGW1u8E=")</f>
        <v>#REF!</v>
      </c>
      <c r="GM82" s="34" t="e">
        <f>AND(#REF!,"AAAAAGW1u8I=")</f>
        <v>#REF!</v>
      </c>
      <c r="GN82" s="34" t="e">
        <f>AND(#REF!,"AAAAAGW1u8M=")</f>
        <v>#REF!</v>
      </c>
      <c r="GO82" s="34" t="e">
        <f>AND(#REF!,"AAAAAGW1u8Q=")</f>
        <v>#REF!</v>
      </c>
      <c r="GP82" s="34" t="e">
        <f>AND(#REF!,"AAAAAGW1u8U=")</f>
        <v>#REF!</v>
      </c>
      <c r="GQ82" s="34" t="e">
        <f>AND(#REF!,"AAAAAGW1u8Y=")</f>
        <v>#REF!</v>
      </c>
      <c r="GR82" s="34" t="e">
        <f>AND(#REF!,"AAAAAGW1u8c=")</f>
        <v>#REF!</v>
      </c>
      <c r="GS82" s="34" t="e">
        <f>AND(#REF!,"AAAAAGW1u8g=")</f>
        <v>#REF!</v>
      </c>
      <c r="GT82" s="34" t="e">
        <f>AND(#REF!,"AAAAAGW1u8k=")</f>
        <v>#REF!</v>
      </c>
      <c r="GU82" s="34" t="e">
        <f>AND(#REF!,"AAAAAGW1u8o=")</f>
        <v>#REF!</v>
      </c>
      <c r="GV82" s="34" t="e">
        <f>IF(#REF!,"AAAAAGW1u8s=",0)</f>
        <v>#REF!</v>
      </c>
      <c r="GW82" s="34" t="e">
        <f>AND(#REF!,"AAAAAGW1u8w=")</f>
        <v>#REF!</v>
      </c>
      <c r="GX82" s="34" t="e">
        <f>AND(#REF!,"AAAAAGW1u80=")</f>
        <v>#REF!</v>
      </c>
      <c r="GY82" s="34" t="e">
        <f>AND(#REF!,"AAAAAGW1u84=")</f>
        <v>#REF!</v>
      </c>
      <c r="GZ82" s="34" t="e">
        <f>AND(#REF!,"AAAAAGW1u88=")</f>
        <v>#REF!</v>
      </c>
      <c r="HA82" s="34" t="e">
        <f>AND(#REF!,"AAAAAGW1u9A=")</f>
        <v>#REF!</v>
      </c>
      <c r="HB82" s="34" t="e">
        <f>AND(#REF!,"AAAAAGW1u9E=")</f>
        <v>#REF!</v>
      </c>
      <c r="HC82" s="34" t="e">
        <f>AND(#REF!,"AAAAAGW1u9I=")</f>
        <v>#REF!</v>
      </c>
      <c r="HD82" s="34" t="e">
        <f>AND(#REF!,"AAAAAGW1u9M=")</f>
        <v>#REF!</v>
      </c>
      <c r="HE82" s="34" t="e">
        <f>AND(#REF!,"AAAAAGW1u9Q=")</f>
        <v>#REF!</v>
      </c>
      <c r="HF82" s="34" t="e">
        <f>AND(#REF!,"AAAAAGW1u9U=")</f>
        <v>#REF!</v>
      </c>
      <c r="HG82" s="34" t="e">
        <f>AND(#REF!,"AAAAAGW1u9Y=")</f>
        <v>#REF!</v>
      </c>
      <c r="HH82" s="34" t="e">
        <f>AND(#REF!,"AAAAAGW1u9c=")</f>
        <v>#REF!</v>
      </c>
      <c r="HI82" s="34" t="e">
        <f>AND(#REF!,"AAAAAGW1u9g=")</f>
        <v>#REF!</v>
      </c>
      <c r="HJ82" s="34" t="e">
        <f>AND(#REF!,"AAAAAGW1u9k=")</f>
        <v>#REF!</v>
      </c>
      <c r="HK82" s="34" t="e">
        <f>AND(#REF!,"AAAAAGW1u9o=")</f>
        <v>#REF!</v>
      </c>
      <c r="HL82" s="34" t="e">
        <f>AND(#REF!,"AAAAAGW1u9s=")</f>
        <v>#REF!</v>
      </c>
      <c r="HM82" s="34" t="e">
        <f>IF(#REF!,"AAAAAGW1u9w=",0)</f>
        <v>#REF!</v>
      </c>
      <c r="HN82" s="34" t="e">
        <f>AND(#REF!,"AAAAAGW1u90=")</f>
        <v>#REF!</v>
      </c>
      <c r="HO82" s="34" t="e">
        <f>AND(#REF!,"AAAAAGW1u94=")</f>
        <v>#REF!</v>
      </c>
      <c r="HP82" s="34" t="e">
        <f>AND(#REF!,"AAAAAGW1u98=")</f>
        <v>#REF!</v>
      </c>
      <c r="HQ82" s="34" t="e">
        <f>AND(#REF!,"AAAAAGW1u+A=")</f>
        <v>#REF!</v>
      </c>
      <c r="HR82" s="34" t="e">
        <f>AND(#REF!,"AAAAAGW1u+E=")</f>
        <v>#REF!</v>
      </c>
      <c r="HS82" s="34" t="e">
        <f>AND(#REF!,"AAAAAGW1u+I=")</f>
        <v>#REF!</v>
      </c>
      <c r="HT82" s="34" t="e">
        <f>AND(#REF!,"AAAAAGW1u+M=")</f>
        <v>#REF!</v>
      </c>
      <c r="HU82" s="34" t="e">
        <f>AND(#REF!,"AAAAAGW1u+Q=")</f>
        <v>#REF!</v>
      </c>
      <c r="HV82" s="34" t="e">
        <f>AND(#REF!,"AAAAAGW1u+U=")</f>
        <v>#REF!</v>
      </c>
      <c r="HW82" s="34" t="e">
        <f>AND(#REF!,"AAAAAGW1u+Y=")</f>
        <v>#REF!</v>
      </c>
      <c r="HX82" s="34" t="e">
        <f>AND(#REF!,"AAAAAGW1u+c=")</f>
        <v>#REF!</v>
      </c>
      <c r="HY82" s="34" t="e">
        <f>AND(#REF!,"AAAAAGW1u+g=")</f>
        <v>#REF!</v>
      </c>
      <c r="HZ82" s="34" t="e">
        <f>AND(#REF!,"AAAAAGW1u+k=")</f>
        <v>#REF!</v>
      </c>
      <c r="IA82" s="34" t="e">
        <f>AND(#REF!,"AAAAAGW1u+o=")</f>
        <v>#REF!</v>
      </c>
      <c r="IB82" s="34" t="e">
        <f>AND(#REF!,"AAAAAGW1u+s=")</f>
        <v>#REF!</v>
      </c>
      <c r="IC82" s="34" t="e">
        <f>AND(#REF!,"AAAAAGW1u+w=")</f>
        <v>#REF!</v>
      </c>
      <c r="ID82" s="34" t="e">
        <f>IF(#REF!,"AAAAAGW1u+0=",0)</f>
        <v>#REF!</v>
      </c>
      <c r="IE82" s="34" t="e">
        <f>AND(#REF!,"AAAAAGW1u+4=")</f>
        <v>#REF!</v>
      </c>
      <c r="IF82" s="34" t="e">
        <f>AND(#REF!,"AAAAAGW1u+8=")</f>
        <v>#REF!</v>
      </c>
      <c r="IG82" s="34" t="e">
        <f>AND(#REF!,"AAAAAGW1u/A=")</f>
        <v>#REF!</v>
      </c>
      <c r="IH82" s="34" t="e">
        <f>AND(#REF!,"AAAAAGW1u/E=")</f>
        <v>#REF!</v>
      </c>
      <c r="II82" s="34" t="e">
        <f>AND(#REF!,"AAAAAGW1u/I=")</f>
        <v>#REF!</v>
      </c>
      <c r="IJ82" s="34" t="e">
        <f>AND(#REF!,"AAAAAGW1u/M=")</f>
        <v>#REF!</v>
      </c>
      <c r="IK82" s="34" t="e">
        <f>AND(#REF!,"AAAAAGW1u/Q=")</f>
        <v>#REF!</v>
      </c>
      <c r="IL82" s="34" t="e">
        <f>AND(#REF!,"AAAAAGW1u/U=")</f>
        <v>#REF!</v>
      </c>
      <c r="IM82" s="34" t="e">
        <f>AND(#REF!,"AAAAAGW1u/Y=")</f>
        <v>#REF!</v>
      </c>
      <c r="IN82" s="34" t="e">
        <f>AND(#REF!,"AAAAAGW1u/c=")</f>
        <v>#REF!</v>
      </c>
      <c r="IO82" s="34" t="e">
        <f>AND(#REF!,"AAAAAGW1u/g=")</f>
        <v>#REF!</v>
      </c>
      <c r="IP82" s="34" t="e">
        <f>AND(#REF!,"AAAAAGW1u/k=")</f>
        <v>#REF!</v>
      </c>
      <c r="IQ82" s="34" t="e">
        <f>AND(#REF!,"AAAAAGW1u/o=")</f>
        <v>#REF!</v>
      </c>
      <c r="IR82" s="34" t="e">
        <f>AND(#REF!,"AAAAAGW1u/s=")</f>
        <v>#REF!</v>
      </c>
      <c r="IS82" s="34" t="e">
        <f>AND(#REF!,"AAAAAGW1u/w=")</f>
        <v>#REF!</v>
      </c>
      <c r="IT82" s="34" t="e">
        <f>AND(#REF!,"AAAAAGW1u/0=")</f>
        <v>#REF!</v>
      </c>
      <c r="IU82" s="34" t="e">
        <f>IF(#REF!,"AAAAAGW1u/4=",0)</f>
        <v>#REF!</v>
      </c>
      <c r="IV82" s="34" t="e">
        <f>AND(#REF!,"AAAAAGW1u/8=")</f>
        <v>#REF!</v>
      </c>
    </row>
    <row r="83" spans="1:256" ht="12.75" customHeight="1" x14ac:dyDescent="0.2">
      <c r="A83" s="34" t="e">
        <f>AND(#REF!,"AAAAAGNv+gA=")</f>
        <v>#REF!</v>
      </c>
      <c r="B83" s="34" t="e">
        <f>AND(#REF!,"AAAAAGNv+gE=")</f>
        <v>#REF!</v>
      </c>
      <c r="C83" s="34" t="e">
        <f>AND(#REF!,"AAAAAGNv+gI=")</f>
        <v>#REF!</v>
      </c>
      <c r="D83" s="34" t="e">
        <f>AND(#REF!,"AAAAAGNv+gM=")</f>
        <v>#REF!</v>
      </c>
      <c r="E83" s="34" t="e">
        <f>AND(#REF!,"AAAAAGNv+gQ=")</f>
        <v>#REF!</v>
      </c>
      <c r="F83" s="34" t="e">
        <f>AND(#REF!,"AAAAAGNv+gU=")</f>
        <v>#REF!</v>
      </c>
      <c r="G83" s="34" t="e">
        <f>AND(#REF!,"AAAAAGNv+gY=")</f>
        <v>#REF!</v>
      </c>
      <c r="H83" s="34" t="e">
        <f>AND(#REF!,"AAAAAGNv+gc=")</f>
        <v>#REF!</v>
      </c>
      <c r="I83" s="34" t="e">
        <f>AND(#REF!,"AAAAAGNv+gg=")</f>
        <v>#REF!</v>
      </c>
      <c r="J83" s="34" t="e">
        <f>AND(#REF!,"AAAAAGNv+gk=")</f>
        <v>#REF!</v>
      </c>
      <c r="K83" s="34" t="e">
        <f>AND(#REF!,"AAAAAGNv+go=")</f>
        <v>#REF!</v>
      </c>
      <c r="L83" s="34" t="e">
        <f>AND(#REF!,"AAAAAGNv+gs=")</f>
        <v>#REF!</v>
      </c>
      <c r="M83" s="34" t="e">
        <f>AND(#REF!,"AAAAAGNv+gw=")</f>
        <v>#REF!</v>
      </c>
      <c r="N83" s="34" t="e">
        <f>AND(#REF!,"AAAAAGNv+g0=")</f>
        <v>#REF!</v>
      </c>
      <c r="O83" s="34" t="e">
        <f>AND(#REF!,"AAAAAGNv+g4=")</f>
        <v>#REF!</v>
      </c>
      <c r="P83" s="34" t="e">
        <f>IF(#REF!,"AAAAAGNv+g8=",0)</f>
        <v>#REF!</v>
      </c>
      <c r="Q83" s="34" t="e">
        <f>AND(#REF!,"AAAAAGNv+hA=")</f>
        <v>#REF!</v>
      </c>
      <c r="R83" s="34" t="e">
        <f>AND(#REF!,"AAAAAGNv+hE=")</f>
        <v>#REF!</v>
      </c>
      <c r="S83" s="34" t="e">
        <f>AND(#REF!,"AAAAAGNv+hI=")</f>
        <v>#REF!</v>
      </c>
      <c r="T83" s="34" t="e">
        <f>AND(#REF!,"AAAAAGNv+hM=")</f>
        <v>#REF!</v>
      </c>
      <c r="U83" s="34" t="e">
        <f>AND(#REF!,"AAAAAGNv+hQ=")</f>
        <v>#REF!</v>
      </c>
      <c r="V83" s="34" t="e">
        <f>AND(#REF!,"AAAAAGNv+hU=")</f>
        <v>#REF!</v>
      </c>
      <c r="W83" s="34" t="e">
        <f>AND(#REF!,"AAAAAGNv+hY=")</f>
        <v>#REF!</v>
      </c>
      <c r="X83" s="34" t="e">
        <f>AND(#REF!,"AAAAAGNv+hc=")</f>
        <v>#REF!</v>
      </c>
      <c r="Y83" s="34" t="e">
        <f>AND(#REF!,"AAAAAGNv+hg=")</f>
        <v>#REF!</v>
      </c>
      <c r="Z83" s="34" t="e">
        <f>AND(#REF!,"AAAAAGNv+hk=")</f>
        <v>#REF!</v>
      </c>
      <c r="AA83" s="34" t="e">
        <f>AND(#REF!,"AAAAAGNv+ho=")</f>
        <v>#REF!</v>
      </c>
      <c r="AB83" s="34" t="e">
        <f>AND(#REF!,"AAAAAGNv+hs=")</f>
        <v>#REF!</v>
      </c>
      <c r="AC83" s="34" t="e">
        <f>AND(#REF!,"AAAAAGNv+hw=")</f>
        <v>#REF!</v>
      </c>
      <c r="AD83" s="34" t="e">
        <f>AND(#REF!,"AAAAAGNv+h0=")</f>
        <v>#REF!</v>
      </c>
      <c r="AE83" s="34" t="e">
        <f>AND(#REF!,"AAAAAGNv+h4=")</f>
        <v>#REF!</v>
      </c>
      <c r="AF83" s="34" t="e">
        <f>AND(#REF!,"AAAAAGNv+h8=")</f>
        <v>#REF!</v>
      </c>
      <c r="AG83" s="34" t="e">
        <f>IF(#REF!,"AAAAAGNv+iA=",0)</f>
        <v>#REF!</v>
      </c>
      <c r="AH83" s="34" t="e">
        <f>AND(#REF!,"AAAAAGNv+iE=")</f>
        <v>#REF!</v>
      </c>
      <c r="AI83" s="34" t="e">
        <f>AND(#REF!,"AAAAAGNv+iI=")</f>
        <v>#REF!</v>
      </c>
      <c r="AJ83" s="34" t="e">
        <f>AND(#REF!,"AAAAAGNv+iM=")</f>
        <v>#REF!</v>
      </c>
      <c r="AK83" s="34" t="e">
        <f>AND(#REF!,"AAAAAGNv+iQ=")</f>
        <v>#REF!</v>
      </c>
      <c r="AL83" s="34" t="e">
        <f>AND(#REF!,"AAAAAGNv+iU=")</f>
        <v>#REF!</v>
      </c>
      <c r="AM83" s="34" t="e">
        <f>AND(#REF!,"AAAAAGNv+iY=")</f>
        <v>#REF!</v>
      </c>
      <c r="AN83" s="34" t="e">
        <f>AND(#REF!,"AAAAAGNv+ic=")</f>
        <v>#REF!</v>
      </c>
      <c r="AO83" s="34" t="e">
        <f>AND(#REF!,"AAAAAGNv+ig=")</f>
        <v>#REF!</v>
      </c>
      <c r="AP83" s="34" t="e">
        <f>AND(#REF!,"AAAAAGNv+ik=")</f>
        <v>#REF!</v>
      </c>
      <c r="AQ83" s="34" t="e">
        <f>AND(#REF!,"AAAAAGNv+io=")</f>
        <v>#REF!</v>
      </c>
      <c r="AR83" s="34" t="e">
        <f>AND(#REF!,"AAAAAGNv+is=")</f>
        <v>#REF!</v>
      </c>
      <c r="AS83" s="34" t="e">
        <f>AND(#REF!,"AAAAAGNv+iw=")</f>
        <v>#REF!</v>
      </c>
      <c r="AT83" s="34" t="e">
        <f>AND(#REF!,"AAAAAGNv+i0=")</f>
        <v>#REF!</v>
      </c>
      <c r="AU83" s="34" t="e">
        <f>AND(#REF!,"AAAAAGNv+i4=")</f>
        <v>#REF!</v>
      </c>
      <c r="AV83" s="34" t="e">
        <f>AND(#REF!,"AAAAAGNv+i8=")</f>
        <v>#REF!</v>
      </c>
      <c r="AW83" s="34" t="e">
        <f>AND(#REF!,"AAAAAGNv+jA=")</f>
        <v>#REF!</v>
      </c>
      <c r="AX83" s="34" t="e">
        <f>IF(#REF!,"AAAAAGNv+jE=",0)</f>
        <v>#REF!</v>
      </c>
      <c r="AY83" s="34" t="e">
        <f>AND(#REF!,"AAAAAGNv+jI=")</f>
        <v>#REF!</v>
      </c>
      <c r="AZ83" s="34" t="e">
        <f>AND(#REF!,"AAAAAGNv+jM=")</f>
        <v>#REF!</v>
      </c>
      <c r="BA83" s="34" t="e">
        <f>AND(#REF!,"AAAAAGNv+jQ=")</f>
        <v>#REF!</v>
      </c>
      <c r="BB83" s="34" t="e">
        <f>AND(#REF!,"AAAAAGNv+jU=")</f>
        <v>#REF!</v>
      </c>
      <c r="BC83" s="34" t="e">
        <f>AND(#REF!,"AAAAAGNv+jY=")</f>
        <v>#REF!</v>
      </c>
      <c r="BD83" s="34" t="e">
        <f>AND(#REF!,"AAAAAGNv+jc=")</f>
        <v>#REF!</v>
      </c>
      <c r="BE83" s="34" t="e">
        <f>AND(#REF!,"AAAAAGNv+jg=")</f>
        <v>#REF!</v>
      </c>
      <c r="BF83" s="34" t="e">
        <f>AND(#REF!,"AAAAAGNv+jk=")</f>
        <v>#REF!</v>
      </c>
      <c r="BG83" s="34" t="e">
        <f>AND(#REF!,"AAAAAGNv+jo=")</f>
        <v>#REF!</v>
      </c>
      <c r="BH83" s="34" t="e">
        <f>AND(#REF!,"AAAAAGNv+js=")</f>
        <v>#REF!</v>
      </c>
      <c r="BI83" s="34" t="e">
        <f>AND(#REF!,"AAAAAGNv+jw=")</f>
        <v>#REF!</v>
      </c>
      <c r="BJ83" s="34" t="e">
        <f>AND(#REF!,"AAAAAGNv+j0=")</f>
        <v>#REF!</v>
      </c>
      <c r="BK83" s="34" t="e">
        <f>AND(#REF!,"AAAAAGNv+j4=")</f>
        <v>#REF!</v>
      </c>
      <c r="BL83" s="34" t="e">
        <f>AND(#REF!,"AAAAAGNv+j8=")</f>
        <v>#REF!</v>
      </c>
      <c r="BM83" s="34" t="e">
        <f>AND(#REF!,"AAAAAGNv+kA=")</f>
        <v>#REF!</v>
      </c>
      <c r="BN83" s="34" t="e">
        <f>AND(#REF!,"AAAAAGNv+kE=")</f>
        <v>#REF!</v>
      </c>
      <c r="BO83" s="34" t="e">
        <f>IF(#REF!,"AAAAAGNv+kI=",0)</f>
        <v>#REF!</v>
      </c>
      <c r="BP83" s="34" t="e">
        <f>AND(#REF!,"AAAAAGNv+kM=")</f>
        <v>#REF!</v>
      </c>
      <c r="BQ83" s="34" t="e">
        <f>AND(#REF!,"AAAAAGNv+kQ=")</f>
        <v>#REF!</v>
      </c>
      <c r="BR83" s="34" t="e">
        <f>AND(#REF!,"AAAAAGNv+kU=")</f>
        <v>#REF!</v>
      </c>
      <c r="BS83" s="34" t="e">
        <f>AND(#REF!,"AAAAAGNv+kY=")</f>
        <v>#REF!</v>
      </c>
      <c r="BT83" s="34" t="e">
        <f>AND(#REF!,"AAAAAGNv+kc=")</f>
        <v>#REF!</v>
      </c>
      <c r="BU83" s="34" t="e">
        <f>AND(#REF!,"AAAAAGNv+kg=")</f>
        <v>#REF!</v>
      </c>
      <c r="BV83" s="34" t="e">
        <f>AND(#REF!,"AAAAAGNv+kk=")</f>
        <v>#REF!</v>
      </c>
      <c r="BW83" s="34" t="e">
        <f>AND(#REF!,"AAAAAGNv+ko=")</f>
        <v>#REF!</v>
      </c>
      <c r="BX83" s="34" t="e">
        <f>AND(#REF!,"AAAAAGNv+ks=")</f>
        <v>#REF!</v>
      </c>
      <c r="BY83" s="34" t="e">
        <f>AND(#REF!,"AAAAAGNv+kw=")</f>
        <v>#REF!</v>
      </c>
      <c r="BZ83" s="34" t="e">
        <f>AND(#REF!,"AAAAAGNv+k0=")</f>
        <v>#REF!</v>
      </c>
      <c r="CA83" s="34" t="e">
        <f>AND(#REF!,"AAAAAGNv+k4=")</f>
        <v>#REF!</v>
      </c>
      <c r="CB83" s="34" t="e">
        <f>AND(#REF!,"AAAAAGNv+k8=")</f>
        <v>#REF!</v>
      </c>
      <c r="CC83" s="34" t="e">
        <f>AND(#REF!,"AAAAAGNv+lA=")</f>
        <v>#REF!</v>
      </c>
      <c r="CD83" s="34" t="e">
        <f>AND(#REF!,"AAAAAGNv+lE=")</f>
        <v>#REF!</v>
      </c>
      <c r="CE83" s="34" t="e">
        <f>AND(#REF!,"AAAAAGNv+lI=")</f>
        <v>#REF!</v>
      </c>
      <c r="CF83" s="34" t="e">
        <f>IF(#REF!,"AAAAAGNv+lM=",0)</f>
        <v>#REF!</v>
      </c>
      <c r="CG83" s="34" t="e">
        <f>AND(#REF!,"AAAAAGNv+lQ=")</f>
        <v>#REF!</v>
      </c>
      <c r="CH83" s="34" t="e">
        <f>AND(#REF!,"AAAAAGNv+lU=")</f>
        <v>#REF!</v>
      </c>
      <c r="CI83" s="34" t="e">
        <f>AND(#REF!,"AAAAAGNv+lY=")</f>
        <v>#REF!</v>
      </c>
      <c r="CJ83" s="34" t="e">
        <f>AND(#REF!,"AAAAAGNv+lc=")</f>
        <v>#REF!</v>
      </c>
      <c r="CK83" s="34" t="e">
        <f>AND(#REF!,"AAAAAGNv+lg=")</f>
        <v>#REF!</v>
      </c>
      <c r="CL83" s="34" t="e">
        <f>AND(#REF!,"AAAAAGNv+lk=")</f>
        <v>#REF!</v>
      </c>
      <c r="CM83" s="34" t="e">
        <f>AND(#REF!,"AAAAAGNv+lo=")</f>
        <v>#REF!</v>
      </c>
      <c r="CN83" s="34" t="e">
        <f>AND(#REF!,"AAAAAGNv+ls=")</f>
        <v>#REF!</v>
      </c>
      <c r="CO83" s="34" t="e">
        <f>AND(#REF!,"AAAAAGNv+lw=")</f>
        <v>#REF!</v>
      </c>
      <c r="CP83" s="34" t="e">
        <f>AND(#REF!,"AAAAAGNv+l0=")</f>
        <v>#REF!</v>
      </c>
      <c r="CQ83" s="34" t="e">
        <f>AND(#REF!,"AAAAAGNv+l4=")</f>
        <v>#REF!</v>
      </c>
      <c r="CR83" s="34" t="e">
        <f>AND(#REF!,"AAAAAGNv+l8=")</f>
        <v>#REF!</v>
      </c>
      <c r="CS83" s="34" t="e">
        <f>AND(#REF!,"AAAAAGNv+mA=")</f>
        <v>#REF!</v>
      </c>
      <c r="CT83" s="34" t="e">
        <f>AND(#REF!,"AAAAAGNv+mE=")</f>
        <v>#REF!</v>
      </c>
      <c r="CU83" s="34" t="e">
        <f>AND(#REF!,"AAAAAGNv+mI=")</f>
        <v>#REF!</v>
      </c>
      <c r="CV83" s="34" t="e">
        <f>AND(#REF!,"AAAAAGNv+mM=")</f>
        <v>#REF!</v>
      </c>
      <c r="CW83" s="34" t="e">
        <f>IF(#REF!,"AAAAAGNv+mQ=",0)</f>
        <v>#REF!</v>
      </c>
      <c r="CX83" s="34" t="e">
        <f>AND(#REF!,"AAAAAGNv+mU=")</f>
        <v>#REF!</v>
      </c>
      <c r="CY83" s="34" t="e">
        <f>AND(#REF!,"AAAAAGNv+mY=")</f>
        <v>#REF!</v>
      </c>
      <c r="CZ83" s="34" t="e">
        <f>AND(#REF!,"AAAAAGNv+mc=")</f>
        <v>#REF!</v>
      </c>
      <c r="DA83" s="34" t="e">
        <f>AND(#REF!,"AAAAAGNv+mg=")</f>
        <v>#REF!</v>
      </c>
      <c r="DB83" s="34" t="e">
        <f>AND(#REF!,"AAAAAGNv+mk=")</f>
        <v>#REF!</v>
      </c>
      <c r="DC83" s="34" t="e">
        <f>AND(#REF!,"AAAAAGNv+mo=")</f>
        <v>#REF!</v>
      </c>
      <c r="DD83" s="34" t="e">
        <f>AND(#REF!,"AAAAAGNv+ms=")</f>
        <v>#REF!</v>
      </c>
      <c r="DE83" s="34" t="e">
        <f>AND(#REF!,"AAAAAGNv+mw=")</f>
        <v>#REF!</v>
      </c>
      <c r="DF83" s="34" t="e">
        <f>AND(#REF!,"AAAAAGNv+m0=")</f>
        <v>#REF!</v>
      </c>
      <c r="DG83" s="34" t="e">
        <f>AND(#REF!,"AAAAAGNv+m4=")</f>
        <v>#REF!</v>
      </c>
      <c r="DH83" s="34" t="e">
        <f>AND(#REF!,"AAAAAGNv+m8=")</f>
        <v>#REF!</v>
      </c>
      <c r="DI83" s="34" t="e">
        <f>AND(#REF!,"AAAAAGNv+nA=")</f>
        <v>#REF!</v>
      </c>
      <c r="DJ83" s="34" t="e">
        <f>AND(#REF!,"AAAAAGNv+nE=")</f>
        <v>#REF!</v>
      </c>
      <c r="DK83" s="34" t="e">
        <f>AND(#REF!,"AAAAAGNv+nI=")</f>
        <v>#REF!</v>
      </c>
      <c r="DL83" s="34" t="e">
        <f>AND(#REF!,"AAAAAGNv+nM=")</f>
        <v>#REF!</v>
      </c>
      <c r="DM83" s="34" t="e">
        <f>AND(#REF!,"AAAAAGNv+nQ=")</f>
        <v>#REF!</v>
      </c>
      <c r="DN83" s="34" t="e">
        <f>IF(#REF!,"AAAAAGNv+nU=",0)</f>
        <v>#REF!</v>
      </c>
      <c r="DO83" s="34" t="e">
        <f>AND(#REF!,"AAAAAGNv+nY=")</f>
        <v>#REF!</v>
      </c>
      <c r="DP83" s="34" t="e">
        <f>AND(#REF!,"AAAAAGNv+nc=")</f>
        <v>#REF!</v>
      </c>
      <c r="DQ83" s="34" t="e">
        <f>AND(#REF!,"AAAAAGNv+ng=")</f>
        <v>#REF!</v>
      </c>
      <c r="DR83" s="34" t="e">
        <f>AND(#REF!,"AAAAAGNv+nk=")</f>
        <v>#REF!</v>
      </c>
      <c r="DS83" s="34" t="e">
        <f>AND(#REF!,"AAAAAGNv+no=")</f>
        <v>#REF!</v>
      </c>
      <c r="DT83" s="34" t="e">
        <f>AND(#REF!,"AAAAAGNv+ns=")</f>
        <v>#REF!</v>
      </c>
      <c r="DU83" s="34" t="e">
        <f>AND(#REF!,"AAAAAGNv+nw=")</f>
        <v>#REF!</v>
      </c>
      <c r="DV83" s="34" t="e">
        <f>AND(#REF!,"AAAAAGNv+n0=")</f>
        <v>#REF!</v>
      </c>
      <c r="DW83" s="34" t="e">
        <f>AND(#REF!,"AAAAAGNv+n4=")</f>
        <v>#REF!</v>
      </c>
      <c r="DX83" s="34" t="e">
        <f>AND(#REF!,"AAAAAGNv+n8=")</f>
        <v>#REF!</v>
      </c>
      <c r="DY83" s="34" t="e">
        <f>AND(#REF!,"AAAAAGNv+oA=")</f>
        <v>#REF!</v>
      </c>
      <c r="DZ83" s="34" t="e">
        <f>AND(#REF!,"AAAAAGNv+oE=")</f>
        <v>#REF!</v>
      </c>
      <c r="EA83" s="34" t="e">
        <f>AND(#REF!,"AAAAAGNv+oI=")</f>
        <v>#REF!</v>
      </c>
      <c r="EB83" s="34" t="e">
        <f>AND(#REF!,"AAAAAGNv+oM=")</f>
        <v>#REF!</v>
      </c>
      <c r="EC83" s="34" t="e">
        <f>AND(#REF!,"AAAAAGNv+oQ=")</f>
        <v>#REF!</v>
      </c>
      <c r="ED83" s="34" t="e">
        <f>AND(#REF!,"AAAAAGNv+oU=")</f>
        <v>#REF!</v>
      </c>
      <c r="EE83" s="34" t="e">
        <f>IF(#REF!,"AAAAAGNv+oY=",0)</f>
        <v>#REF!</v>
      </c>
      <c r="EF83" s="34" t="e">
        <f>AND(#REF!,"AAAAAGNv+oc=")</f>
        <v>#REF!</v>
      </c>
      <c r="EG83" s="34" t="e">
        <f>AND(#REF!,"AAAAAGNv+og=")</f>
        <v>#REF!</v>
      </c>
      <c r="EH83" s="34" t="e">
        <f>AND(#REF!,"AAAAAGNv+ok=")</f>
        <v>#REF!</v>
      </c>
      <c r="EI83" s="34" t="e">
        <f>AND(#REF!,"AAAAAGNv+oo=")</f>
        <v>#REF!</v>
      </c>
      <c r="EJ83" s="34" t="e">
        <f>AND(#REF!,"AAAAAGNv+os=")</f>
        <v>#REF!</v>
      </c>
      <c r="EK83" s="34" t="e">
        <f>AND(#REF!,"AAAAAGNv+ow=")</f>
        <v>#REF!</v>
      </c>
      <c r="EL83" s="34" t="e">
        <f>AND(#REF!,"AAAAAGNv+o0=")</f>
        <v>#REF!</v>
      </c>
      <c r="EM83" s="34" t="e">
        <f>AND(#REF!,"AAAAAGNv+o4=")</f>
        <v>#REF!</v>
      </c>
      <c r="EN83" s="34" t="e">
        <f>AND(#REF!,"AAAAAGNv+o8=")</f>
        <v>#REF!</v>
      </c>
      <c r="EO83" s="34" t="e">
        <f>AND(#REF!,"AAAAAGNv+pA=")</f>
        <v>#REF!</v>
      </c>
      <c r="EP83" s="34" t="e">
        <f>AND(#REF!,"AAAAAGNv+pE=")</f>
        <v>#REF!</v>
      </c>
      <c r="EQ83" s="34" t="e">
        <f>AND(#REF!,"AAAAAGNv+pI=")</f>
        <v>#REF!</v>
      </c>
      <c r="ER83" s="34" t="e">
        <f>AND(#REF!,"AAAAAGNv+pM=")</f>
        <v>#REF!</v>
      </c>
      <c r="ES83" s="34" t="e">
        <f>AND(#REF!,"AAAAAGNv+pQ=")</f>
        <v>#REF!</v>
      </c>
      <c r="ET83" s="34" t="e">
        <f>AND(#REF!,"AAAAAGNv+pU=")</f>
        <v>#REF!</v>
      </c>
      <c r="EU83" s="34" t="e">
        <f>AND(#REF!,"AAAAAGNv+pY=")</f>
        <v>#REF!</v>
      </c>
      <c r="EV83" s="34" t="e">
        <f>IF(#REF!,"AAAAAGNv+pc=",0)</f>
        <v>#REF!</v>
      </c>
      <c r="EW83" s="34" t="e">
        <f>AND(#REF!,"AAAAAGNv+pg=")</f>
        <v>#REF!</v>
      </c>
      <c r="EX83" s="34" t="e">
        <f>AND(#REF!,"AAAAAGNv+pk=")</f>
        <v>#REF!</v>
      </c>
      <c r="EY83" s="34" t="e">
        <f>AND(#REF!,"AAAAAGNv+po=")</f>
        <v>#REF!</v>
      </c>
      <c r="EZ83" s="34" t="e">
        <f>AND(#REF!,"AAAAAGNv+ps=")</f>
        <v>#REF!</v>
      </c>
      <c r="FA83" s="34" t="e">
        <f>AND(#REF!,"AAAAAGNv+pw=")</f>
        <v>#REF!</v>
      </c>
      <c r="FB83" s="34" t="e">
        <f>AND(#REF!,"AAAAAGNv+p0=")</f>
        <v>#REF!</v>
      </c>
      <c r="FC83" s="34" t="e">
        <f>AND(#REF!,"AAAAAGNv+p4=")</f>
        <v>#REF!</v>
      </c>
      <c r="FD83" s="34" t="e">
        <f>AND(#REF!,"AAAAAGNv+p8=")</f>
        <v>#REF!</v>
      </c>
      <c r="FE83" s="34" t="e">
        <f>AND(#REF!,"AAAAAGNv+qA=")</f>
        <v>#REF!</v>
      </c>
      <c r="FF83" s="34" t="e">
        <f>AND(#REF!,"AAAAAGNv+qE=")</f>
        <v>#REF!</v>
      </c>
      <c r="FG83" s="34" t="e">
        <f>AND(#REF!,"AAAAAGNv+qI=")</f>
        <v>#REF!</v>
      </c>
      <c r="FH83" s="34" t="e">
        <f>AND(#REF!,"AAAAAGNv+qM=")</f>
        <v>#REF!</v>
      </c>
      <c r="FI83" s="34" t="e">
        <f>AND(#REF!,"AAAAAGNv+qQ=")</f>
        <v>#REF!</v>
      </c>
      <c r="FJ83" s="34" t="e">
        <f>AND(#REF!,"AAAAAGNv+qU=")</f>
        <v>#REF!</v>
      </c>
      <c r="FK83" s="34" t="e">
        <f>AND(#REF!,"AAAAAGNv+qY=")</f>
        <v>#REF!</v>
      </c>
      <c r="FL83" s="34" t="e">
        <f>AND(#REF!,"AAAAAGNv+qc=")</f>
        <v>#REF!</v>
      </c>
      <c r="FM83" s="34" t="e">
        <f>IF(#REF!,"AAAAAGNv+qg=",0)</f>
        <v>#REF!</v>
      </c>
      <c r="FN83" s="34" t="e">
        <f>AND(#REF!,"AAAAAGNv+qk=")</f>
        <v>#REF!</v>
      </c>
      <c r="FO83" s="34" t="e">
        <f>AND(#REF!,"AAAAAGNv+qo=")</f>
        <v>#REF!</v>
      </c>
      <c r="FP83" s="34" t="e">
        <f>AND(#REF!,"AAAAAGNv+qs=")</f>
        <v>#REF!</v>
      </c>
      <c r="FQ83" s="34" t="e">
        <f>AND(#REF!,"AAAAAGNv+qw=")</f>
        <v>#REF!</v>
      </c>
      <c r="FR83" s="34" t="e">
        <f>AND(#REF!,"AAAAAGNv+q0=")</f>
        <v>#REF!</v>
      </c>
      <c r="FS83" s="34" t="e">
        <f>AND(#REF!,"AAAAAGNv+q4=")</f>
        <v>#REF!</v>
      </c>
      <c r="FT83" s="34" t="e">
        <f>AND(#REF!,"AAAAAGNv+q8=")</f>
        <v>#REF!</v>
      </c>
      <c r="FU83" s="34" t="e">
        <f>AND(#REF!,"AAAAAGNv+rA=")</f>
        <v>#REF!</v>
      </c>
      <c r="FV83" s="34" t="e">
        <f>AND(#REF!,"AAAAAGNv+rE=")</f>
        <v>#REF!</v>
      </c>
      <c r="FW83" s="34" t="e">
        <f>AND(#REF!,"AAAAAGNv+rI=")</f>
        <v>#REF!</v>
      </c>
      <c r="FX83" s="34" t="e">
        <f>AND(#REF!,"AAAAAGNv+rM=")</f>
        <v>#REF!</v>
      </c>
      <c r="FY83" s="34" t="e">
        <f>AND(#REF!,"AAAAAGNv+rQ=")</f>
        <v>#REF!</v>
      </c>
      <c r="FZ83" s="34" t="e">
        <f>AND(#REF!,"AAAAAGNv+rU=")</f>
        <v>#REF!</v>
      </c>
      <c r="GA83" s="34" t="e">
        <f>AND(#REF!,"AAAAAGNv+rY=")</f>
        <v>#REF!</v>
      </c>
      <c r="GB83" s="34" t="e">
        <f>AND(#REF!,"AAAAAGNv+rc=")</f>
        <v>#REF!</v>
      </c>
      <c r="GC83" s="34" t="e">
        <f>AND(#REF!,"AAAAAGNv+rg=")</f>
        <v>#REF!</v>
      </c>
      <c r="GD83" s="34" t="e">
        <f>IF(#REF!,"AAAAAGNv+rk=",0)</f>
        <v>#REF!</v>
      </c>
      <c r="GE83" s="34" t="e">
        <f>AND(#REF!,"AAAAAGNv+ro=")</f>
        <v>#REF!</v>
      </c>
      <c r="GF83" s="34" t="e">
        <f>AND(#REF!,"AAAAAGNv+rs=")</f>
        <v>#REF!</v>
      </c>
      <c r="GG83" s="34" t="e">
        <f>AND(#REF!,"AAAAAGNv+rw=")</f>
        <v>#REF!</v>
      </c>
      <c r="GH83" s="34" t="e">
        <f>AND(#REF!,"AAAAAGNv+r0=")</f>
        <v>#REF!</v>
      </c>
      <c r="GI83" s="34" t="e">
        <f>AND(#REF!,"AAAAAGNv+r4=")</f>
        <v>#REF!</v>
      </c>
      <c r="GJ83" s="34" t="e">
        <f>AND(#REF!,"AAAAAGNv+r8=")</f>
        <v>#REF!</v>
      </c>
      <c r="GK83" s="34" t="e">
        <f>AND(#REF!,"AAAAAGNv+sA=")</f>
        <v>#REF!</v>
      </c>
      <c r="GL83" s="34" t="e">
        <f>AND(#REF!,"AAAAAGNv+sE=")</f>
        <v>#REF!</v>
      </c>
      <c r="GM83" s="34" t="e">
        <f>AND(#REF!,"AAAAAGNv+sI=")</f>
        <v>#REF!</v>
      </c>
      <c r="GN83" s="34" t="e">
        <f>AND(#REF!,"AAAAAGNv+sM=")</f>
        <v>#REF!</v>
      </c>
      <c r="GO83" s="34" t="e">
        <f>AND(#REF!,"AAAAAGNv+sQ=")</f>
        <v>#REF!</v>
      </c>
      <c r="GP83" s="34" t="e">
        <f>AND(#REF!,"AAAAAGNv+sU=")</f>
        <v>#REF!</v>
      </c>
      <c r="GQ83" s="34" t="e">
        <f>AND(#REF!,"AAAAAGNv+sY=")</f>
        <v>#REF!</v>
      </c>
      <c r="GR83" s="34" t="e">
        <f>AND(#REF!,"AAAAAGNv+sc=")</f>
        <v>#REF!</v>
      </c>
      <c r="GS83" s="34" t="e">
        <f>AND(#REF!,"AAAAAGNv+sg=")</f>
        <v>#REF!</v>
      </c>
      <c r="GT83" s="34" t="e">
        <f>AND(#REF!,"AAAAAGNv+sk=")</f>
        <v>#REF!</v>
      </c>
      <c r="GU83" s="34" t="e">
        <f>IF(#REF!,"AAAAAGNv+so=",0)</f>
        <v>#REF!</v>
      </c>
      <c r="GV83" s="34" t="e">
        <f>AND(#REF!,"AAAAAGNv+ss=")</f>
        <v>#REF!</v>
      </c>
      <c r="GW83" s="34" t="e">
        <f>AND(#REF!,"AAAAAGNv+sw=")</f>
        <v>#REF!</v>
      </c>
      <c r="GX83" s="34" t="e">
        <f>AND(#REF!,"AAAAAGNv+s0=")</f>
        <v>#REF!</v>
      </c>
      <c r="GY83" s="34" t="e">
        <f>AND(#REF!,"AAAAAGNv+s4=")</f>
        <v>#REF!</v>
      </c>
      <c r="GZ83" s="34" t="e">
        <f>AND(#REF!,"AAAAAGNv+s8=")</f>
        <v>#REF!</v>
      </c>
      <c r="HA83" s="34" t="e">
        <f>AND(#REF!,"AAAAAGNv+tA=")</f>
        <v>#REF!</v>
      </c>
      <c r="HB83" s="34" t="e">
        <f>AND(#REF!,"AAAAAGNv+tE=")</f>
        <v>#REF!</v>
      </c>
      <c r="HC83" s="34" t="e">
        <f>AND(#REF!,"AAAAAGNv+tI=")</f>
        <v>#REF!</v>
      </c>
      <c r="HD83" s="34" t="e">
        <f>AND(#REF!,"AAAAAGNv+tM=")</f>
        <v>#REF!</v>
      </c>
      <c r="HE83" s="34" t="e">
        <f>AND(#REF!,"AAAAAGNv+tQ=")</f>
        <v>#REF!</v>
      </c>
      <c r="HF83" s="34" t="e">
        <f>AND(#REF!,"AAAAAGNv+tU=")</f>
        <v>#REF!</v>
      </c>
      <c r="HG83" s="34" t="e">
        <f>AND(#REF!,"AAAAAGNv+tY=")</f>
        <v>#REF!</v>
      </c>
      <c r="HH83" s="34" t="e">
        <f>AND(#REF!,"AAAAAGNv+tc=")</f>
        <v>#REF!</v>
      </c>
      <c r="HI83" s="34" t="e">
        <f>AND(#REF!,"AAAAAGNv+tg=")</f>
        <v>#REF!</v>
      </c>
      <c r="HJ83" s="34" t="e">
        <f>AND(#REF!,"AAAAAGNv+tk=")</f>
        <v>#REF!</v>
      </c>
      <c r="HK83" s="34" t="e">
        <f>AND(#REF!,"AAAAAGNv+to=")</f>
        <v>#REF!</v>
      </c>
      <c r="HL83" s="34" t="e">
        <f>IF(#REF!,"AAAAAGNv+ts=",0)</f>
        <v>#REF!</v>
      </c>
      <c r="HM83" s="34" t="e">
        <f>AND(#REF!,"AAAAAGNv+tw=")</f>
        <v>#REF!</v>
      </c>
      <c r="HN83" s="34" t="e">
        <f>AND(#REF!,"AAAAAGNv+t0=")</f>
        <v>#REF!</v>
      </c>
      <c r="HO83" s="34" t="e">
        <f>AND(#REF!,"AAAAAGNv+t4=")</f>
        <v>#REF!</v>
      </c>
      <c r="HP83" s="34" t="e">
        <f>AND(#REF!,"AAAAAGNv+t8=")</f>
        <v>#REF!</v>
      </c>
      <c r="HQ83" s="34" t="e">
        <f>AND(#REF!,"AAAAAGNv+uA=")</f>
        <v>#REF!</v>
      </c>
      <c r="HR83" s="34" t="e">
        <f>AND(#REF!,"AAAAAGNv+uE=")</f>
        <v>#REF!</v>
      </c>
      <c r="HS83" s="34" t="e">
        <f>AND(#REF!,"AAAAAGNv+uI=")</f>
        <v>#REF!</v>
      </c>
      <c r="HT83" s="34" t="e">
        <f>AND(#REF!,"AAAAAGNv+uM=")</f>
        <v>#REF!</v>
      </c>
      <c r="HU83" s="34" t="e">
        <f>AND(#REF!,"AAAAAGNv+uQ=")</f>
        <v>#REF!</v>
      </c>
      <c r="HV83" s="34" t="e">
        <f>AND(#REF!,"AAAAAGNv+uU=")</f>
        <v>#REF!</v>
      </c>
      <c r="HW83" s="34" t="e">
        <f>AND(#REF!,"AAAAAGNv+uY=")</f>
        <v>#REF!</v>
      </c>
      <c r="HX83" s="34" t="e">
        <f>AND(#REF!,"AAAAAGNv+uc=")</f>
        <v>#REF!</v>
      </c>
      <c r="HY83" s="34" t="e">
        <f>AND(#REF!,"AAAAAGNv+ug=")</f>
        <v>#REF!</v>
      </c>
      <c r="HZ83" s="34" t="e">
        <f>AND(#REF!,"AAAAAGNv+uk=")</f>
        <v>#REF!</v>
      </c>
      <c r="IA83" s="34" t="e">
        <f>AND(#REF!,"AAAAAGNv+uo=")</f>
        <v>#REF!</v>
      </c>
      <c r="IB83" s="34" t="e">
        <f>AND(#REF!,"AAAAAGNv+us=")</f>
        <v>#REF!</v>
      </c>
      <c r="IC83" s="34" t="e">
        <f>IF(#REF!,"AAAAAGNv+uw=",0)</f>
        <v>#REF!</v>
      </c>
      <c r="ID83" s="34" t="e">
        <f>AND(#REF!,"AAAAAGNv+u0=")</f>
        <v>#REF!</v>
      </c>
      <c r="IE83" s="34" t="e">
        <f>AND(#REF!,"AAAAAGNv+u4=")</f>
        <v>#REF!</v>
      </c>
      <c r="IF83" s="34" t="e">
        <f>AND(#REF!,"AAAAAGNv+u8=")</f>
        <v>#REF!</v>
      </c>
      <c r="IG83" s="34" t="e">
        <f>AND(#REF!,"AAAAAGNv+vA=")</f>
        <v>#REF!</v>
      </c>
      <c r="IH83" s="34" t="e">
        <f>AND(#REF!,"AAAAAGNv+vE=")</f>
        <v>#REF!</v>
      </c>
      <c r="II83" s="34" t="e">
        <f>AND(#REF!,"AAAAAGNv+vI=")</f>
        <v>#REF!</v>
      </c>
      <c r="IJ83" s="34" t="e">
        <f>AND(#REF!,"AAAAAGNv+vM=")</f>
        <v>#REF!</v>
      </c>
      <c r="IK83" s="34" t="e">
        <f>AND(#REF!,"AAAAAGNv+vQ=")</f>
        <v>#REF!</v>
      </c>
      <c r="IL83" s="34" t="e">
        <f>AND(#REF!,"AAAAAGNv+vU=")</f>
        <v>#REF!</v>
      </c>
      <c r="IM83" s="34" t="e">
        <f>AND(#REF!,"AAAAAGNv+vY=")</f>
        <v>#REF!</v>
      </c>
      <c r="IN83" s="34" t="e">
        <f>AND(#REF!,"AAAAAGNv+vc=")</f>
        <v>#REF!</v>
      </c>
      <c r="IO83" s="34" t="e">
        <f>AND(#REF!,"AAAAAGNv+vg=")</f>
        <v>#REF!</v>
      </c>
      <c r="IP83" s="34" t="e">
        <f>AND(#REF!,"AAAAAGNv+vk=")</f>
        <v>#REF!</v>
      </c>
      <c r="IQ83" s="34" t="e">
        <f>AND(#REF!,"AAAAAGNv+vo=")</f>
        <v>#REF!</v>
      </c>
      <c r="IR83" s="34" t="e">
        <f>AND(#REF!,"AAAAAGNv+vs=")</f>
        <v>#REF!</v>
      </c>
      <c r="IS83" s="34" t="e">
        <f>AND(#REF!,"AAAAAGNv+vw=")</f>
        <v>#REF!</v>
      </c>
      <c r="IT83" s="34" t="e">
        <f>IF(#REF!,"AAAAAGNv+v0=",0)</f>
        <v>#REF!</v>
      </c>
      <c r="IU83" s="34" t="e">
        <f>AND(#REF!,"AAAAAGNv+v4=")</f>
        <v>#REF!</v>
      </c>
      <c r="IV83" s="34" t="e">
        <f>AND(#REF!,"AAAAAGNv+v8=")</f>
        <v>#REF!</v>
      </c>
    </row>
    <row r="84" spans="1:256" ht="12.75" customHeight="1" x14ac:dyDescent="0.2">
      <c r="A84" s="34" t="e">
        <f>AND(#REF!,"AAAAAH3lfQA=")</f>
        <v>#REF!</v>
      </c>
      <c r="B84" s="34" t="e">
        <f>AND(#REF!,"AAAAAH3lfQE=")</f>
        <v>#REF!</v>
      </c>
      <c r="C84" s="34" t="e">
        <f>AND(#REF!,"AAAAAH3lfQI=")</f>
        <v>#REF!</v>
      </c>
      <c r="D84" s="34" t="e">
        <f>AND(#REF!,"AAAAAH3lfQM=")</f>
        <v>#REF!</v>
      </c>
      <c r="E84" s="34" t="e">
        <f>AND(#REF!,"AAAAAH3lfQQ=")</f>
        <v>#REF!</v>
      </c>
      <c r="F84" s="34" t="e">
        <f>AND(#REF!,"AAAAAH3lfQU=")</f>
        <v>#REF!</v>
      </c>
      <c r="G84" s="34" t="e">
        <f>AND(#REF!,"AAAAAH3lfQY=")</f>
        <v>#REF!</v>
      </c>
      <c r="H84" s="34" t="e">
        <f>AND(#REF!,"AAAAAH3lfQc=")</f>
        <v>#REF!</v>
      </c>
      <c r="I84" s="34" t="e">
        <f>AND(#REF!,"AAAAAH3lfQg=")</f>
        <v>#REF!</v>
      </c>
      <c r="J84" s="34" t="e">
        <f>AND(#REF!,"AAAAAH3lfQk=")</f>
        <v>#REF!</v>
      </c>
      <c r="K84" s="34" t="e">
        <f>AND(#REF!,"AAAAAH3lfQo=")</f>
        <v>#REF!</v>
      </c>
      <c r="L84" s="34" t="e">
        <f>AND(#REF!,"AAAAAH3lfQs=")</f>
        <v>#REF!</v>
      </c>
      <c r="M84" s="34" t="e">
        <f>AND(#REF!,"AAAAAH3lfQw=")</f>
        <v>#REF!</v>
      </c>
      <c r="N84" s="34" t="e">
        <f>AND(#REF!,"AAAAAH3lfQ0=")</f>
        <v>#REF!</v>
      </c>
      <c r="O84" s="34" t="e">
        <f>IF(#REF!,"AAAAAH3lfQ4=",0)</f>
        <v>#REF!</v>
      </c>
      <c r="P84" s="34" t="e">
        <f>AND(#REF!,"AAAAAH3lfQ8=")</f>
        <v>#REF!</v>
      </c>
      <c r="Q84" s="34" t="e">
        <f>AND(#REF!,"AAAAAH3lfRA=")</f>
        <v>#REF!</v>
      </c>
      <c r="R84" s="34" t="e">
        <f>AND(#REF!,"AAAAAH3lfRE=")</f>
        <v>#REF!</v>
      </c>
      <c r="S84" s="34" t="e">
        <f>AND(#REF!,"AAAAAH3lfRI=")</f>
        <v>#REF!</v>
      </c>
      <c r="T84" s="34" t="e">
        <f>AND(#REF!,"AAAAAH3lfRM=")</f>
        <v>#REF!</v>
      </c>
      <c r="U84" s="34" t="e">
        <f>AND(#REF!,"AAAAAH3lfRQ=")</f>
        <v>#REF!</v>
      </c>
      <c r="V84" s="34" t="e">
        <f>AND(#REF!,"AAAAAH3lfRU=")</f>
        <v>#REF!</v>
      </c>
      <c r="W84" s="34" t="e">
        <f>AND(#REF!,"AAAAAH3lfRY=")</f>
        <v>#REF!</v>
      </c>
      <c r="X84" s="34" t="e">
        <f>AND(#REF!,"AAAAAH3lfRc=")</f>
        <v>#REF!</v>
      </c>
      <c r="Y84" s="34" t="e">
        <f>AND(#REF!,"AAAAAH3lfRg=")</f>
        <v>#REF!</v>
      </c>
      <c r="Z84" s="34" t="e">
        <f>AND(#REF!,"AAAAAH3lfRk=")</f>
        <v>#REF!</v>
      </c>
      <c r="AA84" s="34" t="e">
        <f>AND(#REF!,"AAAAAH3lfRo=")</f>
        <v>#REF!</v>
      </c>
      <c r="AB84" s="34" t="e">
        <f>AND(#REF!,"AAAAAH3lfRs=")</f>
        <v>#REF!</v>
      </c>
      <c r="AC84" s="34" t="e">
        <f>AND(#REF!,"AAAAAH3lfRw=")</f>
        <v>#REF!</v>
      </c>
      <c r="AD84" s="34" t="e">
        <f>AND(#REF!,"AAAAAH3lfR0=")</f>
        <v>#REF!</v>
      </c>
      <c r="AE84" s="34" t="e">
        <f>AND(#REF!,"AAAAAH3lfR4=")</f>
        <v>#REF!</v>
      </c>
      <c r="AF84" s="34" t="e">
        <f>IF(#REF!,"AAAAAH3lfR8=",0)</f>
        <v>#REF!</v>
      </c>
      <c r="AG84" s="34" t="e">
        <f>AND(#REF!,"AAAAAH3lfSA=")</f>
        <v>#REF!</v>
      </c>
      <c r="AH84" s="34" t="e">
        <f>AND(#REF!,"AAAAAH3lfSE=")</f>
        <v>#REF!</v>
      </c>
      <c r="AI84" s="34" t="e">
        <f>AND(#REF!,"AAAAAH3lfSI=")</f>
        <v>#REF!</v>
      </c>
      <c r="AJ84" s="34" t="e">
        <f>AND(#REF!,"AAAAAH3lfSM=")</f>
        <v>#REF!</v>
      </c>
      <c r="AK84" s="34" t="e">
        <f>AND(#REF!,"AAAAAH3lfSQ=")</f>
        <v>#REF!</v>
      </c>
      <c r="AL84" s="34" t="e">
        <f>AND(#REF!,"AAAAAH3lfSU=")</f>
        <v>#REF!</v>
      </c>
      <c r="AM84" s="34" t="e">
        <f>AND(#REF!,"AAAAAH3lfSY=")</f>
        <v>#REF!</v>
      </c>
      <c r="AN84" s="34" t="e">
        <f>AND(#REF!,"AAAAAH3lfSc=")</f>
        <v>#REF!</v>
      </c>
      <c r="AO84" s="34" t="e">
        <f>AND(#REF!,"AAAAAH3lfSg=")</f>
        <v>#REF!</v>
      </c>
      <c r="AP84" s="34" t="e">
        <f>AND(#REF!,"AAAAAH3lfSk=")</f>
        <v>#REF!</v>
      </c>
      <c r="AQ84" s="34" t="e">
        <f>AND(#REF!,"AAAAAH3lfSo=")</f>
        <v>#REF!</v>
      </c>
      <c r="AR84" s="34" t="e">
        <f>AND(#REF!,"AAAAAH3lfSs=")</f>
        <v>#REF!</v>
      </c>
      <c r="AS84" s="34" t="e">
        <f>AND(#REF!,"AAAAAH3lfSw=")</f>
        <v>#REF!</v>
      </c>
      <c r="AT84" s="34" t="e">
        <f>AND(#REF!,"AAAAAH3lfS0=")</f>
        <v>#REF!</v>
      </c>
      <c r="AU84" s="34" t="e">
        <f>AND(#REF!,"AAAAAH3lfS4=")</f>
        <v>#REF!</v>
      </c>
      <c r="AV84" s="34" t="e">
        <f>AND(#REF!,"AAAAAH3lfS8=")</f>
        <v>#REF!</v>
      </c>
      <c r="AW84" s="34" t="e">
        <f>IF(#REF!,"AAAAAH3lfTA=",0)</f>
        <v>#REF!</v>
      </c>
      <c r="AX84" s="34" t="e">
        <f>AND(#REF!,"AAAAAH3lfTE=")</f>
        <v>#REF!</v>
      </c>
      <c r="AY84" s="34" t="e">
        <f>AND(#REF!,"AAAAAH3lfTI=")</f>
        <v>#REF!</v>
      </c>
      <c r="AZ84" s="34" t="e">
        <f>AND(#REF!,"AAAAAH3lfTM=")</f>
        <v>#REF!</v>
      </c>
      <c r="BA84" s="34" t="e">
        <f>AND(#REF!,"AAAAAH3lfTQ=")</f>
        <v>#REF!</v>
      </c>
      <c r="BB84" s="34" t="e">
        <f>AND(#REF!,"AAAAAH3lfTU=")</f>
        <v>#REF!</v>
      </c>
      <c r="BC84" s="34" t="e">
        <f>AND(#REF!,"AAAAAH3lfTY=")</f>
        <v>#REF!</v>
      </c>
      <c r="BD84" s="34" t="e">
        <f>AND(#REF!,"AAAAAH3lfTc=")</f>
        <v>#REF!</v>
      </c>
      <c r="BE84" s="34" t="e">
        <f>AND(#REF!,"AAAAAH3lfTg=")</f>
        <v>#REF!</v>
      </c>
      <c r="BF84" s="34" t="e">
        <f>AND(#REF!,"AAAAAH3lfTk=")</f>
        <v>#REF!</v>
      </c>
      <c r="BG84" s="34" t="e">
        <f>AND(#REF!,"AAAAAH3lfTo=")</f>
        <v>#REF!</v>
      </c>
      <c r="BH84" s="34" t="e">
        <f>AND(#REF!,"AAAAAH3lfTs=")</f>
        <v>#REF!</v>
      </c>
      <c r="BI84" s="34" t="e">
        <f>AND(#REF!,"AAAAAH3lfTw=")</f>
        <v>#REF!</v>
      </c>
      <c r="BJ84" s="34" t="e">
        <f>AND(#REF!,"AAAAAH3lfT0=")</f>
        <v>#REF!</v>
      </c>
      <c r="BK84" s="34" t="e">
        <f>AND(#REF!,"AAAAAH3lfT4=")</f>
        <v>#REF!</v>
      </c>
      <c r="BL84" s="34" t="e">
        <f>AND(#REF!,"AAAAAH3lfT8=")</f>
        <v>#REF!</v>
      </c>
      <c r="BM84" s="34" t="e">
        <f>AND(#REF!,"AAAAAH3lfUA=")</f>
        <v>#REF!</v>
      </c>
      <c r="BN84" s="34" t="e">
        <f>IF(#REF!,"AAAAAH3lfUE=",0)</f>
        <v>#REF!</v>
      </c>
      <c r="BO84" s="34" t="e">
        <f>AND(#REF!,"AAAAAH3lfUI=")</f>
        <v>#REF!</v>
      </c>
      <c r="BP84" s="34" t="e">
        <f>AND(#REF!,"AAAAAH3lfUM=")</f>
        <v>#REF!</v>
      </c>
      <c r="BQ84" s="34" t="e">
        <f>AND(#REF!,"AAAAAH3lfUQ=")</f>
        <v>#REF!</v>
      </c>
      <c r="BR84" s="34" t="e">
        <f>AND(#REF!,"AAAAAH3lfUU=")</f>
        <v>#REF!</v>
      </c>
      <c r="BS84" s="34" t="e">
        <f>AND(#REF!,"AAAAAH3lfUY=")</f>
        <v>#REF!</v>
      </c>
      <c r="BT84" s="34" t="e">
        <f>AND(#REF!,"AAAAAH3lfUc=")</f>
        <v>#REF!</v>
      </c>
      <c r="BU84" s="34" t="e">
        <f>AND(#REF!,"AAAAAH3lfUg=")</f>
        <v>#REF!</v>
      </c>
      <c r="BV84" s="34" t="e">
        <f>AND(#REF!,"AAAAAH3lfUk=")</f>
        <v>#REF!</v>
      </c>
      <c r="BW84" s="34" t="e">
        <f>AND(#REF!,"AAAAAH3lfUo=")</f>
        <v>#REF!</v>
      </c>
      <c r="BX84" s="34" t="e">
        <f>AND(#REF!,"AAAAAH3lfUs=")</f>
        <v>#REF!</v>
      </c>
      <c r="BY84" s="34" t="e">
        <f>AND(#REF!,"AAAAAH3lfUw=")</f>
        <v>#REF!</v>
      </c>
      <c r="BZ84" s="34" t="e">
        <f>AND(#REF!,"AAAAAH3lfU0=")</f>
        <v>#REF!</v>
      </c>
      <c r="CA84" s="34" t="e">
        <f>AND(#REF!,"AAAAAH3lfU4=")</f>
        <v>#REF!</v>
      </c>
      <c r="CB84" s="34" t="e">
        <f>AND(#REF!,"AAAAAH3lfU8=")</f>
        <v>#REF!</v>
      </c>
      <c r="CC84" s="34" t="e">
        <f>AND(#REF!,"AAAAAH3lfVA=")</f>
        <v>#REF!</v>
      </c>
      <c r="CD84" s="34" t="e">
        <f>AND(#REF!,"AAAAAH3lfVE=")</f>
        <v>#REF!</v>
      </c>
      <c r="CE84" s="34" t="e">
        <f>IF(#REF!,"AAAAAH3lfVI=",0)</f>
        <v>#REF!</v>
      </c>
      <c r="CF84" s="34" t="e">
        <f>AND(#REF!,"AAAAAH3lfVM=")</f>
        <v>#REF!</v>
      </c>
      <c r="CG84" s="34" t="e">
        <f>AND(#REF!,"AAAAAH3lfVQ=")</f>
        <v>#REF!</v>
      </c>
      <c r="CH84" s="34" t="e">
        <f>AND(#REF!,"AAAAAH3lfVU=")</f>
        <v>#REF!</v>
      </c>
      <c r="CI84" s="34" t="e">
        <f>AND(#REF!,"AAAAAH3lfVY=")</f>
        <v>#REF!</v>
      </c>
      <c r="CJ84" s="34" t="e">
        <f>AND(#REF!,"AAAAAH3lfVc=")</f>
        <v>#REF!</v>
      </c>
      <c r="CK84" s="34" t="e">
        <f>AND(#REF!,"AAAAAH3lfVg=")</f>
        <v>#REF!</v>
      </c>
      <c r="CL84" s="34" t="e">
        <f>AND(#REF!,"AAAAAH3lfVk=")</f>
        <v>#REF!</v>
      </c>
      <c r="CM84" s="34" t="e">
        <f>AND(#REF!,"AAAAAH3lfVo=")</f>
        <v>#REF!</v>
      </c>
      <c r="CN84" s="34" t="e">
        <f>AND(#REF!,"AAAAAH3lfVs=")</f>
        <v>#REF!</v>
      </c>
      <c r="CO84" s="34" t="e">
        <f>AND(#REF!,"AAAAAH3lfVw=")</f>
        <v>#REF!</v>
      </c>
      <c r="CP84" s="34" t="e">
        <f>AND(#REF!,"AAAAAH3lfV0=")</f>
        <v>#REF!</v>
      </c>
      <c r="CQ84" s="34" t="e">
        <f>AND(#REF!,"AAAAAH3lfV4=")</f>
        <v>#REF!</v>
      </c>
      <c r="CR84" s="34" t="e">
        <f>AND(#REF!,"AAAAAH3lfV8=")</f>
        <v>#REF!</v>
      </c>
      <c r="CS84" s="34" t="e">
        <f>AND(#REF!,"AAAAAH3lfWA=")</f>
        <v>#REF!</v>
      </c>
      <c r="CT84" s="34" t="e">
        <f>AND(#REF!,"AAAAAH3lfWE=")</f>
        <v>#REF!</v>
      </c>
      <c r="CU84" s="34" t="e">
        <f>AND(#REF!,"AAAAAH3lfWI=")</f>
        <v>#REF!</v>
      </c>
      <c r="CV84" s="34" t="e">
        <f>IF(#REF!,"AAAAAH3lfWM=",0)</f>
        <v>#REF!</v>
      </c>
      <c r="CW84" s="34" t="e">
        <f>AND(#REF!,"AAAAAH3lfWQ=")</f>
        <v>#REF!</v>
      </c>
      <c r="CX84" s="34" t="e">
        <f>AND(#REF!,"AAAAAH3lfWU=")</f>
        <v>#REF!</v>
      </c>
      <c r="CY84" s="34" t="e">
        <f>AND(#REF!,"AAAAAH3lfWY=")</f>
        <v>#REF!</v>
      </c>
      <c r="CZ84" s="34" t="e">
        <f>AND(#REF!,"AAAAAH3lfWc=")</f>
        <v>#REF!</v>
      </c>
      <c r="DA84" s="34" t="e">
        <f>AND(#REF!,"AAAAAH3lfWg=")</f>
        <v>#REF!</v>
      </c>
      <c r="DB84" s="34" t="e">
        <f>AND(#REF!,"AAAAAH3lfWk=")</f>
        <v>#REF!</v>
      </c>
      <c r="DC84" s="34" t="e">
        <f>AND(#REF!,"AAAAAH3lfWo=")</f>
        <v>#REF!</v>
      </c>
      <c r="DD84" s="34" t="e">
        <f>AND(#REF!,"AAAAAH3lfWs=")</f>
        <v>#REF!</v>
      </c>
      <c r="DE84" s="34" t="e">
        <f>AND(#REF!,"AAAAAH3lfWw=")</f>
        <v>#REF!</v>
      </c>
      <c r="DF84" s="34" t="e">
        <f>AND(#REF!,"AAAAAH3lfW0=")</f>
        <v>#REF!</v>
      </c>
      <c r="DG84" s="34" t="e">
        <f>AND(#REF!,"AAAAAH3lfW4=")</f>
        <v>#REF!</v>
      </c>
      <c r="DH84" s="34" t="e">
        <f>AND(#REF!,"AAAAAH3lfW8=")</f>
        <v>#REF!</v>
      </c>
      <c r="DI84" s="34" t="e">
        <f>AND(#REF!,"AAAAAH3lfXA=")</f>
        <v>#REF!</v>
      </c>
      <c r="DJ84" s="34" t="e">
        <f>AND(#REF!,"AAAAAH3lfXE=")</f>
        <v>#REF!</v>
      </c>
      <c r="DK84" s="34" t="e">
        <f>AND(#REF!,"AAAAAH3lfXI=")</f>
        <v>#REF!</v>
      </c>
      <c r="DL84" s="34" t="e">
        <f>AND(#REF!,"AAAAAH3lfXM=")</f>
        <v>#REF!</v>
      </c>
      <c r="DM84" s="34" t="e">
        <f>IF(#REF!,"AAAAAH3lfXQ=",0)</f>
        <v>#REF!</v>
      </c>
      <c r="DN84" s="34" t="e">
        <f>AND(#REF!,"AAAAAH3lfXU=")</f>
        <v>#REF!</v>
      </c>
      <c r="DO84" s="34" t="e">
        <f>AND(#REF!,"AAAAAH3lfXY=")</f>
        <v>#REF!</v>
      </c>
      <c r="DP84" s="34" t="e">
        <f>AND(#REF!,"AAAAAH3lfXc=")</f>
        <v>#REF!</v>
      </c>
      <c r="DQ84" s="34" t="e">
        <f>AND(#REF!,"AAAAAH3lfXg=")</f>
        <v>#REF!</v>
      </c>
      <c r="DR84" s="34" t="e">
        <f>AND(#REF!,"AAAAAH3lfXk=")</f>
        <v>#REF!</v>
      </c>
      <c r="DS84" s="34" t="e">
        <f>AND(#REF!,"AAAAAH3lfXo=")</f>
        <v>#REF!</v>
      </c>
      <c r="DT84" s="34" t="e">
        <f>AND(#REF!,"AAAAAH3lfXs=")</f>
        <v>#REF!</v>
      </c>
      <c r="DU84" s="34" t="e">
        <f>AND(#REF!,"AAAAAH3lfXw=")</f>
        <v>#REF!</v>
      </c>
      <c r="DV84" s="34" t="e">
        <f>AND(#REF!,"AAAAAH3lfX0=")</f>
        <v>#REF!</v>
      </c>
      <c r="DW84" s="34" t="e">
        <f>AND(#REF!,"AAAAAH3lfX4=")</f>
        <v>#REF!</v>
      </c>
      <c r="DX84" s="34" t="e">
        <f>AND(#REF!,"AAAAAH3lfX8=")</f>
        <v>#REF!</v>
      </c>
      <c r="DY84" s="34" t="e">
        <f>AND(#REF!,"AAAAAH3lfYA=")</f>
        <v>#REF!</v>
      </c>
      <c r="DZ84" s="34" t="e">
        <f>AND(#REF!,"AAAAAH3lfYE=")</f>
        <v>#REF!</v>
      </c>
      <c r="EA84" s="34" t="e">
        <f>AND(#REF!,"AAAAAH3lfYI=")</f>
        <v>#REF!</v>
      </c>
      <c r="EB84" s="34" t="e">
        <f>AND(#REF!,"AAAAAH3lfYM=")</f>
        <v>#REF!</v>
      </c>
      <c r="EC84" s="34" t="e">
        <f>AND(#REF!,"AAAAAH3lfYQ=")</f>
        <v>#REF!</v>
      </c>
      <c r="ED84" s="34" t="e">
        <f>IF(#REF!,"AAAAAH3lfYU=",0)</f>
        <v>#REF!</v>
      </c>
      <c r="EE84" s="34" t="e">
        <f>AND(#REF!,"AAAAAH3lfYY=")</f>
        <v>#REF!</v>
      </c>
      <c r="EF84" s="34" t="e">
        <f>AND(#REF!,"AAAAAH3lfYc=")</f>
        <v>#REF!</v>
      </c>
      <c r="EG84" s="34" t="e">
        <f>AND(#REF!,"AAAAAH3lfYg=")</f>
        <v>#REF!</v>
      </c>
      <c r="EH84" s="34" t="e">
        <f>AND(#REF!,"AAAAAH3lfYk=")</f>
        <v>#REF!</v>
      </c>
      <c r="EI84" s="34" t="e">
        <f>AND(#REF!,"AAAAAH3lfYo=")</f>
        <v>#REF!</v>
      </c>
      <c r="EJ84" s="34" t="e">
        <f>AND(#REF!,"AAAAAH3lfYs=")</f>
        <v>#REF!</v>
      </c>
      <c r="EK84" s="34" t="e">
        <f>AND(#REF!,"AAAAAH3lfYw=")</f>
        <v>#REF!</v>
      </c>
      <c r="EL84" s="34" t="e">
        <f>AND(#REF!,"AAAAAH3lfY0=")</f>
        <v>#REF!</v>
      </c>
      <c r="EM84" s="34" t="e">
        <f>AND(#REF!,"AAAAAH3lfY4=")</f>
        <v>#REF!</v>
      </c>
      <c r="EN84" s="34" t="e">
        <f>AND(#REF!,"AAAAAH3lfY8=")</f>
        <v>#REF!</v>
      </c>
      <c r="EO84" s="34" t="e">
        <f>AND(#REF!,"AAAAAH3lfZA=")</f>
        <v>#REF!</v>
      </c>
      <c r="EP84" s="34" t="e">
        <f>AND(#REF!,"AAAAAH3lfZE=")</f>
        <v>#REF!</v>
      </c>
      <c r="EQ84" s="34" t="e">
        <f>AND(#REF!,"AAAAAH3lfZI=")</f>
        <v>#REF!</v>
      </c>
      <c r="ER84" s="34" t="e">
        <f>AND(#REF!,"AAAAAH3lfZM=")</f>
        <v>#REF!</v>
      </c>
      <c r="ES84" s="34" t="e">
        <f>AND(#REF!,"AAAAAH3lfZQ=")</f>
        <v>#REF!</v>
      </c>
      <c r="ET84" s="34" t="e">
        <f>AND(#REF!,"AAAAAH3lfZU=")</f>
        <v>#REF!</v>
      </c>
      <c r="EU84" s="34" t="e">
        <f>IF(#REF!,"AAAAAH3lfZY=",0)</f>
        <v>#REF!</v>
      </c>
      <c r="EV84" s="34" t="e">
        <f>AND(#REF!,"AAAAAH3lfZc=")</f>
        <v>#REF!</v>
      </c>
      <c r="EW84" s="34" t="e">
        <f>AND(#REF!,"AAAAAH3lfZg=")</f>
        <v>#REF!</v>
      </c>
      <c r="EX84" s="34" t="e">
        <f>AND(#REF!,"AAAAAH3lfZk=")</f>
        <v>#REF!</v>
      </c>
      <c r="EY84" s="34" t="e">
        <f>AND(#REF!,"AAAAAH3lfZo=")</f>
        <v>#REF!</v>
      </c>
      <c r="EZ84" s="34" t="e">
        <f>AND(#REF!,"AAAAAH3lfZs=")</f>
        <v>#REF!</v>
      </c>
      <c r="FA84" s="34" t="e">
        <f>AND(#REF!,"AAAAAH3lfZw=")</f>
        <v>#REF!</v>
      </c>
      <c r="FB84" s="34" t="e">
        <f>AND(#REF!,"AAAAAH3lfZ0=")</f>
        <v>#REF!</v>
      </c>
      <c r="FC84" s="34" t="e">
        <f>AND(#REF!,"AAAAAH3lfZ4=")</f>
        <v>#REF!</v>
      </c>
      <c r="FD84" s="34" t="e">
        <f>AND(#REF!,"AAAAAH3lfZ8=")</f>
        <v>#REF!</v>
      </c>
      <c r="FE84" s="34" t="e">
        <f>AND(#REF!,"AAAAAH3lfaA=")</f>
        <v>#REF!</v>
      </c>
      <c r="FF84" s="34" t="e">
        <f>AND(#REF!,"AAAAAH3lfaE=")</f>
        <v>#REF!</v>
      </c>
      <c r="FG84" s="34" t="e">
        <f>AND(#REF!,"AAAAAH3lfaI=")</f>
        <v>#REF!</v>
      </c>
      <c r="FH84" s="34" t="e">
        <f>AND(#REF!,"AAAAAH3lfaM=")</f>
        <v>#REF!</v>
      </c>
      <c r="FI84" s="34" t="e">
        <f>AND(#REF!,"AAAAAH3lfaQ=")</f>
        <v>#REF!</v>
      </c>
      <c r="FJ84" s="34" t="e">
        <f>AND(#REF!,"AAAAAH3lfaU=")</f>
        <v>#REF!</v>
      </c>
      <c r="FK84" s="34" t="e">
        <f>AND(#REF!,"AAAAAH3lfaY=")</f>
        <v>#REF!</v>
      </c>
      <c r="FL84" s="34" t="e">
        <f>IF(#REF!,"AAAAAH3lfac=",0)</f>
        <v>#REF!</v>
      </c>
      <c r="FM84" s="34" t="e">
        <f>AND(#REF!,"AAAAAH3lfag=")</f>
        <v>#REF!</v>
      </c>
      <c r="FN84" s="34" t="e">
        <f>AND(#REF!,"AAAAAH3lfak=")</f>
        <v>#REF!</v>
      </c>
      <c r="FO84" s="34" t="e">
        <f>AND(#REF!,"AAAAAH3lfao=")</f>
        <v>#REF!</v>
      </c>
      <c r="FP84" s="34" t="e">
        <f>AND(#REF!,"AAAAAH3lfas=")</f>
        <v>#REF!</v>
      </c>
      <c r="FQ84" s="34" t="e">
        <f>AND(#REF!,"AAAAAH3lfaw=")</f>
        <v>#REF!</v>
      </c>
      <c r="FR84" s="34" t="e">
        <f>AND(#REF!,"AAAAAH3lfa0=")</f>
        <v>#REF!</v>
      </c>
      <c r="FS84" s="34" t="e">
        <f>AND(#REF!,"AAAAAH3lfa4=")</f>
        <v>#REF!</v>
      </c>
      <c r="FT84" s="34" t="e">
        <f>AND(#REF!,"AAAAAH3lfa8=")</f>
        <v>#REF!</v>
      </c>
      <c r="FU84" s="34" t="e">
        <f>AND(#REF!,"AAAAAH3lfbA=")</f>
        <v>#REF!</v>
      </c>
      <c r="FV84" s="34" t="e">
        <f>AND(#REF!,"AAAAAH3lfbE=")</f>
        <v>#REF!</v>
      </c>
      <c r="FW84" s="34" t="e">
        <f>AND(#REF!,"AAAAAH3lfbI=")</f>
        <v>#REF!</v>
      </c>
      <c r="FX84" s="34" t="e">
        <f>AND(#REF!,"AAAAAH3lfbM=")</f>
        <v>#REF!</v>
      </c>
      <c r="FY84" s="34" t="e">
        <f>AND(#REF!,"AAAAAH3lfbQ=")</f>
        <v>#REF!</v>
      </c>
      <c r="FZ84" s="34" t="e">
        <f>AND(#REF!,"AAAAAH3lfbU=")</f>
        <v>#REF!</v>
      </c>
      <c r="GA84" s="34" t="e">
        <f>AND(#REF!,"AAAAAH3lfbY=")</f>
        <v>#REF!</v>
      </c>
      <c r="GB84" s="34" t="e">
        <f>AND(#REF!,"AAAAAH3lfbc=")</f>
        <v>#REF!</v>
      </c>
      <c r="GC84" s="34" t="e">
        <f>IF(#REF!,"AAAAAH3lfbg=",0)</f>
        <v>#REF!</v>
      </c>
      <c r="GD84" s="34" t="e">
        <f>AND(#REF!,"AAAAAH3lfbk=")</f>
        <v>#REF!</v>
      </c>
      <c r="GE84" s="34" t="e">
        <f>AND(#REF!,"AAAAAH3lfbo=")</f>
        <v>#REF!</v>
      </c>
      <c r="GF84" s="34" t="e">
        <f>AND(#REF!,"AAAAAH3lfbs=")</f>
        <v>#REF!</v>
      </c>
      <c r="GG84" s="34" t="e">
        <f>AND(#REF!,"AAAAAH3lfbw=")</f>
        <v>#REF!</v>
      </c>
      <c r="GH84" s="34" t="e">
        <f>AND(#REF!,"AAAAAH3lfb0=")</f>
        <v>#REF!</v>
      </c>
      <c r="GI84" s="34" t="e">
        <f>AND(#REF!,"AAAAAH3lfb4=")</f>
        <v>#REF!</v>
      </c>
      <c r="GJ84" s="34" t="e">
        <f>AND(#REF!,"AAAAAH3lfb8=")</f>
        <v>#REF!</v>
      </c>
      <c r="GK84" s="34" t="e">
        <f>AND(#REF!,"AAAAAH3lfcA=")</f>
        <v>#REF!</v>
      </c>
      <c r="GL84" s="34" t="e">
        <f>AND(#REF!,"AAAAAH3lfcE=")</f>
        <v>#REF!</v>
      </c>
      <c r="GM84" s="34" t="e">
        <f>AND(#REF!,"AAAAAH3lfcI=")</f>
        <v>#REF!</v>
      </c>
      <c r="GN84" s="34" t="e">
        <f>AND(#REF!,"AAAAAH3lfcM=")</f>
        <v>#REF!</v>
      </c>
      <c r="GO84" s="34" t="e">
        <f>AND(#REF!,"AAAAAH3lfcQ=")</f>
        <v>#REF!</v>
      </c>
      <c r="GP84" s="34" t="e">
        <f>AND(#REF!,"AAAAAH3lfcU=")</f>
        <v>#REF!</v>
      </c>
      <c r="GQ84" s="34" t="e">
        <f>AND(#REF!,"AAAAAH3lfcY=")</f>
        <v>#REF!</v>
      </c>
      <c r="GR84" s="34" t="e">
        <f>AND(#REF!,"AAAAAH3lfcc=")</f>
        <v>#REF!</v>
      </c>
      <c r="GS84" s="34" t="e">
        <f>AND(#REF!,"AAAAAH3lfcg=")</f>
        <v>#REF!</v>
      </c>
      <c r="GT84" s="34" t="e">
        <f>IF(#REF!,"AAAAAH3lfck=",0)</f>
        <v>#REF!</v>
      </c>
      <c r="GU84" s="34" t="e">
        <f>AND(#REF!,"AAAAAH3lfco=")</f>
        <v>#REF!</v>
      </c>
      <c r="GV84" s="34" t="e">
        <f>AND(#REF!,"AAAAAH3lfcs=")</f>
        <v>#REF!</v>
      </c>
      <c r="GW84" s="34" t="e">
        <f>AND(#REF!,"AAAAAH3lfcw=")</f>
        <v>#REF!</v>
      </c>
      <c r="GX84" s="34" t="e">
        <f>AND(#REF!,"AAAAAH3lfc0=")</f>
        <v>#REF!</v>
      </c>
      <c r="GY84" s="34" t="e">
        <f>AND(#REF!,"AAAAAH3lfc4=")</f>
        <v>#REF!</v>
      </c>
      <c r="GZ84" s="34" t="e">
        <f>AND(#REF!,"AAAAAH3lfc8=")</f>
        <v>#REF!</v>
      </c>
      <c r="HA84" s="34" t="e">
        <f>AND(#REF!,"AAAAAH3lfdA=")</f>
        <v>#REF!</v>
      </c>
      <c r="HB84" s="34" t="e">
        <f>AND(#REF!,"AAAAAH3lfdE=")</f>
        <v>#REF!</v>
      </c>
      <c r="HC84" s="34" t="e">
        <f>AND(#REF!,"AAAAAH3lfdI=")</f>
        <v>#REF!</v>
      </c>
      <c r="HD84" s="34" t="e">
        <f>AND(#REF!,"AAAAAH3lfdM=")</f>
        <v>#REF!</v>
      </c>
      <c r="HE84" s="34" t="e">
        <f>AND(#REF!,"AAAAAH3lfdQ=")</f>
        <v>#REF!</v>
      </c>
      <c r="HF84" s="34" t="e">
        <f>AND(#REF!,"AAAAAH3lfdU=")</f>
        <v>#REF!</v>
      </c>
      <c r="HG84" s="34" t="e">
        <f>AND(#REF!,"AAAAAH3lfdY=")</f>
        <v>#REF!</v>
      </c>
      <c r="HH84" s="34" t="e">
        <f>AND(#REF!,"AAAAAH3lfdc=")</f>
        <v>#REF!</v>
      </c>
      <c r="HI84" s="34" t="e">
        <f>AND(#REF!,"AAAAAH3lfdg=")</f>
        <v>#REF!</v>
      </c>
      <c r="HJ84" s="34" t="e">
        <f>AND(#REF!,"AAAAAH3lfdk=")</f>
        <v>#REF!</v>
      </c>
      <c r="HK84" s="34" t="e">
        <f>IF(#REF!,"AAAAAH3lfdo=",0)</f>
        <v>#REF!</v>
      </c>
      <c r="HL84" s="34" t="e">
        <f>AND(#REF!,"AAAAAH3lfds=")</f>
        <v>#REF!</v>
      </c>
      <c r="HM84" s="34" t="e">
        <f>AND(#REF!,"AAAAAH3lfdw=")</f>
        <v>#REF!</v>
      </c>
      <c r="HN84" s="34" t="e">
        <f>AND(#REF!,"AAAAAH3lfd0=")</f>
        <v>#REF!</v>
      </c>
      <c r="HO84" s="34" t="e">
        <f>AND(#REF!,"AAAAAH3lfd4=")</f>
        <v>#REF!</v>
      </c>
      <c r="HP84" s="34" t="e">
        <f>AND(#REF!,"AAAAAH3lfd8=")</f>
        <v>#REF!</v>
      </c>
      <c r="HQ84" s="34" t="e">
        <f>AND(#REF!,"AAAAAH3lfeA=")</f>
        <v>#REF!</v>
      </c>
      <c r="HR84" s="34" t="e">
        <f>AND(#REF!,"AAAAAH3lfeE=")</f>
        <v>#REF!</v>
      </c>
      <c r="HS84" s="34" t="e">
        <f>AND(#REF!,"AAAAAH3lfeI=")</f>
        <v>#REF!</v>
      </c>
      <c r="HT84" s="34" t="e">
        <f>AND(#REF!,"AAAAAH3lfeM=")</f>
        <v>#REF!</v>
      </c>
      <c r="HU84" s="34" t="e">
        <f>AND(#REF!,"AAAAAH3lfeQ=")</f>
        <v>#REF!</v>
      </c>
      <c r="HV84" s="34" t="e">
        <f>AND(#REF!,"AAAAAH3lfeU=")</f>
        <v>#REF!</v>
      </c>
      <c r="HW84" s="34" t="e">
        <f>AND(#REF!,"AAAAAH3lfeY=")</f>
        <v>#REF!</v>
      </c>
      <c r="HX84" s="34" t="e">
        <f>AND(#REF!,"AAAAAH3lfec=")</f>
        <v>#REF!</v>
      </c>
      <c r="HY84" s="34" t="e">
        <f>AND(#REF!,"AAAAAH3lfeg=")</f>
        <v>#REF!</v>
      </c>
      <c r="HZ84" s="34" t="e">
        <f>AND(#REF!,"AAAAAH3lfek=")</f>
        <v>#REF!</v>
      </c>
      <c r="IA84" s="34" t="e">
        <f>AND(#REF!,"AAAAAH3lfeo=")</f>
        <v>#REF!</v>
      </c>
      <c r="IB84" s="34" t="e">
        <f>IF(#REF!,"AAAAAH3lfes=",0)</f>
        <v>#REF!</v>
      </c>
      <c r="IC84" s="34" t="e">
        <f>AND(#REF!,"AAAAAH3lfew=")</f>
        <v>#REF!</v>
      </c>
      <c r="ID84" s="34" t="e">
        <f>AND(#REF!,"AAAAAH3lfe0=")</f>
        <v>#REF!</v>
      </c>
      <c r="IE84" s="34" t="e">
        <f>AND(#REF!,"AAAAAH3lfe4=")</f>
        <v>#REF!</v>
      </c>
      <c r="IF84" s="34" t="e">
        <f>AND(#REF!,"AAAAAH3lfe8=")</f>
        <v>#REF!</v>
      </c>
      <c r="IG84" s="34" t="e">
        <f>AND(#REF!,"AAAAAH3lffA=")</f>
        <v>#REF!</v>
      </c>
      <c r="IH84" s="34" t="e">
        <f>AND(#REF!,"AAAAAH3lffE=")</f>
        <v>#REF!</v>
      </c>
      <c r="II84" s="34" t="e">
        <f>AND(#REF!,"AAAAAH3lffI=")</f>
        <v>#REF!</v>
      </c>
      <c r="IJ84" s="34" t="e">
        <f>AND(#REF!,"AAAAAH3lffM=")</f>
        <v>#REF!</v>
      </c>
      <c r="IK84" s="34" t="e">
        <f>AND(#REF!,"AAAAAH3lffQ=")</f>
        <v>#REF!</v>
      </c>
      <c r="IL84" s="34" t="e">
        <f>AND(#REF!,"AAAAAH3lffU=")</f>
        <v>#REF!</v>
      </c>
      <c r="IM84" s="34" t="e">
        <f>AND(#REF!,"AAAAAH3lffY=")</f>
        <v>#REF!</v>
      </c>
      <c r="IN84" s="34" t="e">
        <f>AND(#REF!,"AAAAAH3lffc=")</f>
        <v>#REF!</v>
      </c>
      <c r="IO84" s="34" t="e">
        <f>AND(#REF!,"AAAAAH3lffg=")</f>
        <v>#REF!</v>
      </c>
      <c r="IP84" s="34" t="e">
        <f>AND(#REF!,"AAAAAH3lffk=")</f>
        <v>#REF!</v>
      </c>
      <c r="IQ84" s="34" t="e">
        <f>AND(#REF!,"AAAAAH3lffo=")</f>
        <v>#REF!</v>
      </c>
      <c r="IR84" s="34" t="e">
        <f>AND(#REF!,"AAAAAH3lffs=")</f>
        <v>#REF!</v>
      </c>
      <c r="IS84" s="34" t="e">
        <f>IF(#REF!,"AAAAAH3lffw=",0)</f>
        <v>#REF!</v>
      </c>
      <c r="IT84" s="34" t="e">
        <f>AND(#REF!,"AAAAAH3lff0=")</f>
        <v>#REF!</v>
      </c>
      <c r="IU84" s="34" t="e">
        <f>AND(#REF!,"AAAAAH3lff4=")</f>
        <v>#REF!</v>
      </c>
      <c r="IV84" s="34" t="e">
        <f>AND(#REF!,"AAAAAH3lff8=")</f>
        <v>#REF!</v>
      </c>
    </row>
    <row r="85" spans="1:256" ht="12.75" customHeight="1" x14ac:dyDescent="0.2">
      <c r="A85" s="34" t="e">
        <f>AND(#REF!,"AAAAAG8/pwA=")</f>
        <v>#REF!</v>
      </c>
      <c r="B85" s="34" t="e">
        <f>AND(#REF!,"AAAAAG8/pwE=")</f>
        <v>#REF!</v>
      </c>
      <c r="C85" s="34" t="e">
        <f>AND(#REF!,"AAAAAG8/pwI=")</f>
        <v>#REF!</v>
      </c>
      <c r="D85" s="34" t="e">
        <f>AND(#REF!,"AAAAAG8/pwM=")</f>
        <v>#REF!</v>
      </c>
      <c r="E85" s="34" t="e">
        <f>AND(#REF!,"AAAAAG8/pwQ=")</f>
        <v>#REF!</v>
      </c>
      <c r="F85" s="34" t="e">
        <f>AND(#REF!,"AAAAAG8/pwU=")</f>
        <v>#REF!</v>
      </c>
      <c r="G85" s="34" t="e">
        <f>AND(#REF!,"AAAAAG8/pwY=")</f>
        <v>#REF!</v>
      </c>
      <c r="H85" s="34" t="e">
        <f>AND(#REF!,"AAAAAG8/pwc=")</f>
        <v>#REF!</v>
      </c>
      <c r="I85" s="34" t="e">
        <f>AND(#REF!,"AAAAAG8/pwg=")</f>
        <v>#REF!</v>
      </c>
      <c r="J85" s="34" t="e">
        <f>AND(#REF!,"AAAAAG8/pwk=")</f>
        <v>#REF!</v>
      </c>
      <c r="K85" s="34" t="e">
        <f>AND(#REF!,"AAAAAG8/pwo=")</f>
        <v>#REF!</v>
      </c>
      <c r="L85" s="34" t="e">
        <f>AND(#REF!,"AAAAAG8/pws=")</f>
        <v>#REF!</v>
      </c>
      <c r="M85" s="34" t="e">
        <f>AND(#REF!,"AAAAAG8/pww=")</f>
        <v>#REF!</v>
      </c>
      <c r="N85" s="34" t="e">
        <f>IF(#REF!,"AAAAAG8/pw0=",0)</f>
        <v>#REF!</v>
      </c>
      <c r="O85" s="34" t="e">
        <f>IF(#REF!,"AAAAAG8/pw4=",0)</f>
        <v>#REF!</v>
      </c>
      <c r="P85" s="34" t="e">
        <f>IF(#REF!,"AAAAAG8/pw8=",0)</f>
        <v>#REF!</v>
      </c>
      <c r="Q85" s="34" t="e">
        <f>IF(#REF!,"AAAAAG8/pxA=",0)</f>
        <v>#REF!</v>
      </c>
      <c r="R85" s="34" t="e">
        <f>IF(#REF!,"AAAAAG8/pxE=",0)</f>
        <v>#REF!</v>
      </c>
      <c r="S85" s="34" t="e">
        <f>IF(#REF!,"AAAAAG8/pxI=",0)</f>
        <v>#REF!</v>
      </c>
      <c r="T85" s="34" t="e">
        <f>IF(#REF!,"AAAAAG8/pxM=",0)</f>
        <v>#REF!</v>
      </c>
      <c r="U85" s="34" t="e">
        <f>IF(#REF!,"AAAAAG8/pxQ=",0)</f>
        <v>#REF!</v>
      </c>
      <c r="V85" s="34" t="e">
        <f>IF(#REF!,"AAAAAG8/pxU=",0)</f>
        <v>#REF!</v>
      </c>
      <c r="W85" s="34" t="e">
        <f>IF(#REF!,"AAAAAG8/pxY=",0)</f>
        <v>#REF!</v>
      </c>
      <c r="X85" s="34" t="e">
        <f>IF(#REF!,"AAAAAG8/pxc=",0)</f>
        <v>#REF!</v>
      </c>
      <c r="Y85" s="34" t="e">
        <f>IF(#REF!,"AAAAAG8/pxg=",0)</f>
        <v>#REF!</v>
      </c>
      <c r="Z85" s="34" t="e">
        <f>IF(#REF!,"AAAAAG8/pxk=",0)</f>
        <v>#REF!</v>
      </c>
      <c r="AA85" s="34" t="e">
        <f>IF(#REF!,"AAAAAG8/pxo=",0)</f>
        <v>#REF!</v>
      </c>
      <c r="AB85" s="34" t="e">
        <f>IF(#REF!,"AAAAAG8/pxs=",0)</f>
        <v>#REF!</v>
      </c>
      <c r="AC85" s="34" t="e">
        <f>IF(#REF!,"AAAAAG8/pxw=",0)</f>
        <v>#REF!</v>
      </c>
      <c r="AD85" s="34" t="e">
        <f>IF(#REF!,"AAAAAG8/px0=",0)</f>
        <v>#REF!</v>
      </c>
      <c r="AE85" s="34" t="e">
        <f>IF(#REF!,"AAAAAG8/px4=",0)</f>
        <v>#REF!</v>
      </c>
      <c r="AF85" s="34" t="e">
        <f>IF(#REF!,"AAAAAG8/px8=",0)</f>
        <v>#REF!</v>
      </c>
      <c r="AG85" s="34" t="e">
        <f>IF(#REF!,"AAAAAG8/pyA=",0)</f>
        <v>#REF!</v>
      </c>
      <c r="AH85" s="34" t="e">
        <f>IF(#REF!,"AAAAAG8/pyE=",0)</f>
        <v>#REF!</v>
      </c>
      <c r="AI85" s="34" t="e">
        <f>IF(#REF!,"AAAAAG8/pyI=",0)</f>
        <v>#REF!</v>
      </c>
      <c r="AJ85" s="34" t="e">
        <f>IF(#REF!,"AAAAAG8/pyM=",0)</f>
        <v>#REF!</v>
      </c>
      <c r="AK85" s="34" t="e">
        <f>IF(#REF!,"AAAAAG8/pyQ=",0)</f>
        <v>#REF!</v>
      </c>
      <c r="AL85" s="34" t="e">
        <f>IF(#REF!,"AAAAAG8/pyU=",0)</f>
        <v>#REF!</v>
      </c>
      <c r="AM85" s="34" t="e">
        <f>IF(#REF!,"AAAAAG8/pyY=",0)</f>
        <v>#REF!</v>
      </c>
      <c r="AN85" s="34" t="e">
        <f>IF(#REF!,"AAAAAG8/pyc=",0)</f>
        <v>#REF!</v>
      </c>
      <c r="AO85" s="34" t="e">
        <f>IF(#REF!,"AAAAAG8/pyg=",0)</f>
        <v>#REF!</v>
      </c>
      <c r="AP85" s="34" t="e">
        <f>IF(#REF!,"AAAAAG8/pyk=",0)</f>
        <v>#REF!</v>
      </c>
      <c r="AQ85" s="34" t="e">
        <f>IF(#REF!,"AAAAAG8/pyo=",0)</f>
        <v>#REF!</v>
      </c>
      <c r="AR85" s="34" t="e">
        <f>IF(#REF!,"AAAAAG8/pys=",0)</f>
        <v>#REF!</v>
      </c>
      <c r="AS85" s="34" t="e">
        <f>IF(#REF!,"AAAAAG8/pyw=",0)</f>
        <v>#REF!</v>
      </c>
      <c r="AT85" s="34" t="e">
        <f>IF(#REF!,"AAAAAG8/py0=",0)</f>
        <v>#REF!</v>
      </c>
      <c r="AU85" s="34" t="e">
        <f>IF(#REF!,"AAAAAG8/py4=",0)</f>
        <v>#REF!</v>
      </c>
      <c r="AV85" s="34" t="e">
        <f>IF(#REF!,"AAAAAG8/py8=",0)</f>
        <v>#REF!</v>
      </c>
      <c r="AW85" s="34" t="e">
        <f>IF(#REF!,"AAAAAG8/pzA=",0)</f>
        <v>#REF!</v>
      </c>
      <c r="AX85" s="34" t="e">
        <f>IF(#REF!,"AAAAAG8/pzE=",0)</f>
        <v>#REF!</v>
      </c>
      <c r="AY85" s="34" t="e">
        <f>IF(#REF!,"AAAAAG8/pzI=",0)</f>
        <v>#REF!</v>
      </c>
      <c r="AZ85" s="34" t="e">
        <f>IF(#REF!,"AAAAAG8/pzM=",0)</f>
        <v>#REF!</v>
      </c>
      <c r="BA85" s="34" t="e">
        <f>IF(#REF!,"AAAAAG8/pzQ=",0)</f>
        <v>#REF!</v>
      </c>
      <c r="BB85" s="34" t="e">
        <f>IF(#REF!,"AAAAAG8/pzU=",0)</f>
        <v>#REF!</v>
      </c>
      <c r="BC85" s="34" t="e">
        <f>IF(#REF!,"AAAAAG8/pzY=",0)</f>
        <v>#REF!</v>
      </c>
      <c r="BD85" s="34" t="e">
        <f>IF(#REF!,"AAAAAG8/pzc=",0)</f>
        <v>#REF!</v>
      </c>
      <c r="BE85" s="34" t="e">
        <f>IF(#REF!,"AAAAAG8/pzg=",0)</f>
        <v>#REF!</v>
      </c>
      <c r="BF85" s="34" t="e">
        <f>IF(#REF!,"AAAAAG8/pzk=",0)</f>
        <v>#REF!</v>
      </c>
      <c r="BG85" s="34" t="e">
        <f>IF(#REF!,"AAAAAG8/pzo=",0)</f>
        <v>#REF!</v>
      </c>
      <c r="BH85" s="34" t="e">
        <f>IF(#REF!,"AAAAAG8/pzs=",0)</f>
        <v>#REF!</v>
      </c>
      <c r="BI85" s="34" t="e">
        <f>IF(#REF!,"AAAAAG8/pzw=",0)</f>
        <v>#REF!</v>
      </c>
      <c r="BJ85" s="34" t="e">
        <f>IF(#REF!,"AAAAAG8/pz0=",0)</f>
        <v>#REF!</v>
      </c>
      <c r="BK85" s="34" t="e">
        <f>IF(#REF!,"AAAAAG8/pz4=",0)</f>
        <v>#REF!</v>
      </c>
      <c r="BL85" s="34" t="e">
        <f>IF(#REF!,"AAAAAG8/pz8=",0)</f>
        <v>#REF!</v>
      </c>
      <c r="BM85" s="34" t="e">
        <f>IF(#REF!,"AAAAAG8/p0A=",0)</f>
        <v>#REF!</v>
      </c>
      <c r="BN85" s="34" t="e">
        <f>IF(#REF!,"AAAAAG8/p0E=",0)</f>
        <v>#REF!</v>
      </c>
      <c r="BO85" s="34" t="e">
        <f>IF(#REF!,"AAAAAG8/p0I=",0)</f>
        <v>#REF!</v>
      </c>
      <c r="BP85" s="34" t="e">
        <f>IF(#REF!,"AAAAAG8/p0M=",0)</f>
        <v>#REF!</v>
      </c>
      <c r="BQ85" s="34" t="e">
        <f>IF(#REF!,"AAAAAG8/p0Q=",0)</f>
        <v>#REF!</v>
      </c>
      <c r="BR85" s="34" t="e">
        <f>IF(#REF!,"AAAAAG8/p0U=",0)</f>
        <v>#REF!</v>
      </c>
      <c r="BS85" s="34" t="e">
        <f>IF(#REF!,"AAAAAG8/p0Y=",0)</f>
        <v>#REF!</v>
      </c>
      <c r="BT85" s="34" t="e">
        <f>IF(#REF!,"AAAAAG8/p0c=",0)</f>
        <v>#REF!</v>
      </c>
      <c r="BU85" s="34" t="e">
        <f>IF(#REF!,"AAAAAG8/p0g=",0)</f>
        <v>#REF!</v>
      </c>
      <c r="BV85" s="34" t="e">
        <f>IF(#REF!,"AAAAAG8/p0k=",0)</f>
        <v>#REF!</v>
      </c>
      <c r="BW85" s="34" t="e">
        <f>IF(#REF!,"AAAAAG8/p0o=",0)</f>
        <v>#REF!</v>
      </c>
      <c r="BX85" s="34" t="e">
        <f>IF(#REF!,"AAAAAG8/p0s=",0)</f>
        <v>#REF!</v>
      </c>
      <c r="BY85" s="34" t="e">
        <f>IF(#REF!,"AAAAAG8/p0w=",0)</f>
        <v>#REF!</v>
      </c>
      <c r="BZ85" s="34" t="e">
        <f>IF(#REF!,"AAAAAG8/p00=",0)</f>
        <v>#REF!</v>
      </c>
      <c r="CA85" s="34" t="e">
        <f>IF(#REF!,"AAAAAG8/p04=",0)</f>
        <v>#REF!</v>
      </c>
      <c r="CB85" s="34" t="e">
        <f>IF(#REF!,"AAAAAG8/p08=",0)</f>
        <v>#REF!</v>
      </c>
      <c r="CC85" s="34" t="e">
        <f>AND(#REF!,"AAAAAG8/p1A=")</f>
        <v>#REF!</v>
      </c>
      <c r="CD85" s="34" t="e">
        <f>AND(#REF!,"AAAAAG8/p1E=")</f>
        <v>#REF!</v>
      </c>
      <c r="CE85" s="34" t="e">
        <f>AND(#REF!,"AAAAAG8/p1I=")</f>
        <v>#REF!</v>
      </c>
      <c r="CF85" s="34" t="e">
        <f>AND(#REF!,"AAAAAG8/p1M=")</f>
        <v>#REF!</v>
      </c>
      <c r="CG85" s="34" t="e">
        <f>AND(#REF!,"AAAAAG8/p1Q=")</f>
        <v>#REF!</v>
      </c>
      <c r="CH85" s="34" t="e">
        <f>AND(#REF!,"AAAAAG8/p1U=")</f>
        <v>#REF!</v>
      </c>
      <c r="CI85" s="34" t="e">
        <f>AND(#REF!,"AAAAAG8/p1Y=")</f>
        <v>#REF!</v>
      </c>
      <c r="CJ85" s="34" t="e">
        <f>AND(#REF!,"AAAAAG8/p1c=")</f>
        <v>#REF!</v>
      </c>
      <c r="CK85" s="34" t="e">
        <f>AND(#REF!,"AAAAAG8/p1g=")</f>
        <v>#REF!</v>
      </c>
      <c r="CL85" s="34" t="e">
        <f>AND(#REF!,"AAAAAG8/p1k=")</f>
        <v>#REF!</v>
      </c>
      <c r="CM85" s="34" t="e">
        <f>AND(#REF!,"AAAAAG8/p1o=")</f>
        <v>#REF!</v>
      </c>
      <c r="CN85" s="34" t="e">
        <f>AND(#REF!,"AAAAAG8/p1s=")</f>
        <v>#REF!</v>
      </c>
      <c r="CO85" s="34" t="e">
        <f>AND(#REF!,"AAAAAG8/p1w=")</f>
        <v>#REF!</v>
      </c>
      <c r="CP85" s="34" t="e">
        <f>AND(#REF!,"AAAAAG8/p10=")</f>
        <v>#REF!</v>
      </c>
      <c r="CQ85" s="34" t="e">
        <f>AND(#REF!,"AAAAAG8/p14=")</f>
        <v>#REF!</v>
      </c>
      <c r="CR85" s="34" t="e">
        <f>AND(#REF!,"AAAAAG8/p18=")</f>
        <v>#REF!</v>
      </c>
      <c r="CS85" s="34" t="e">
        <f>IF(#REF!,"AAAAAG8/p2A=",0)</f>
        <v>#REF!</v>
      </c>
      <c r="CT85" s="34" t="e">
        <f>AND(#REF!,"AAAAAG8/p2E=")</f>
        <v>#REF!</v>
      </c>
      <c r="CU85" s="34" t="e">
        <f>AND(#REF!,"AAAAAG8/p2I=")</f>
        <v>#REF!</v>
      </c>
      <c r="CV85" s="34" t="e">
        <f>AND(#REF!,"AAAAAG8/p2M=")</f>
        <v>#REF!</v>
      </c>
      <c r="CW85" s="34" t="e">
        <f>AND(#REF!,"AAAAAG8/p2Q=")</f>
        <v>#REF!</v>
      </c>
      <c r="CX85" s="34" t="e">
        <f>AND(#REF!,"AAAAAG8/p2U=")</f>
        <v>#REF!</v>
      </c>
      <c r="CY85" s="34" t="e">
        <f>AND(#REF!,"AAAAAG8/p2Y=")</f>
        <v>#REF!</v>
      </c>
      <c r="CZ85" s="34" t="e">
        <f>AND(#REF!,"AAAAAG8/p2c=")</f>
        <v>#REF!</v>
      </c>
      <c r="DA85" s="34" t="e">
        <f>AND(#REF!,"AAAAAG8/p2g=")</f>
        <v>#REF!</v>
      </c>
      <c r="DB85" s="34" t="e">
        <f>AND(#REF!,"AAAAAG8/p2k=")</f>
        <v>#REF!</v>
      </c>
      <c r="DC85" s="34" t="e">
        <f>AND(#REF!,"AAAAAG8/p2o=")</f>
        <v>#REF!</v>
      </c>
      <c r="DD85" s="34" t="e">
        <f>AND(#REF!,"AAAAAG8/p2s=")</f>
        <v>#REF!</v>
      </c>
      <c r="DE85" s="34" t="e">
        <f>AND(#REF!,"AAAAAG8/p2w=")</f>
        <v>#REF!</v>
      </c>
      <c r="DF85" s="34" t="e">
        <f>AND(#REF!,"AAAAAG8/p20=")</f>
        <v>#REF!</v>
      </c>
      <c r="DG85" s="34" t="e">
        <f>AND(#REF!,"AAAAAG8/p24=")</f>
        <v>#REF!</v>
      </c>
      <c r="DH85" s="34" t="e">
        <f>AND(#REF!,"AAAAAG8/p28=")</f>
        <v>#REF!</v>
      </c>
      <c r="DI85" s="34" t="e">
        <f>AND(#REF!,"AAAAAG8/p3A=")</f>
        <v>#REF!</v>
      </c>
      <c r="DJ85" s="34" t="e">
        <f>IF(#REF!,"AAAAAG8/p3E=",0)</f>
        <v>#REF!</v>
      </c>
      <c r="DK85" s="34" t="e">
        <f>AND(#REF!,"AAAAAG8/p3I=")</f>
        <v>#REF!</v>
      </c>
      <c r="DL85" s="34" t="e">
        <f>AND(#REF!,"AAAAAG8/p3M=")</f>
        <v>#REF!</v>
      </c>
      <c r="DM85" s="34" t="e">
        <f>AND(#REF!,"AAAAAG8/p3Q=")</f>
        <v>#REF!</v>
      </c>
      <c r="DN85" s="34" t="e">
        <f>AND(#REF!,"AAAAAG8/p3U=")</f>
        <v>#REF!</v>
      </c>
      <c r="DO85" s="34" t="e">
        <f>AND(#REF!,"AAAAAG8/p3Y=")</f>
        <v>#REF!</v>
      </c>
      <c r="DP85" s="34" t="e">
        <f>AND(#REF!,"AAAAAG8/p3c=")</f>
        <v>#REF!</v>
      </c>
      <c r="DQ85" s="34" t="e">
        <f>AND(#REF!,"AAAAAG8/p3g=")</f>
        <v>#REF!</v>
      </c>
      <c r="DR85" s="34" t="e">
        <f>AND(#REF!,"AAAAAG8/p3k=")</f>
        <v>#REF!</v>
      </c>
      <c r="DS85" s="34" t="e">
        <f>AND(#REF!,"AAAAAG8/p3o=")</f>
        <v>#REF!</v>
      </c>
      <c r="DT85" s="34" t="e">
        <f>AND(#REF!,"AAAAAG8/p3s=")</f>
        <v>#REF!</v>
      </c>
      <c r="DU85" s="34" t="e">
        <f>AND(#REF!,"AAAAAG8/p3w=")</f>
        <v>#REF!</v>
      </c>
      <c r="DV85" s="34" t="e">
        <f>AND(#REF!,"AAAAAG8/p30=")</f>
        <v>#REF!</v>
      </c>
      <c r="DW85" s="34" t="e">
        <f>AND(#REF!,"AAAAAG8/p34=")</f>
        <v>#REF!</v>
      </c>
      <c r="DX85" s="34" t="e">
        <f>AND(#REF!,"AAAAAG8/p38=")</f>
        <v>#REF!</v>
      </c>
      <c r="DY85" s="34" t="e">
        <f>AND(#REF!,"AAAAAG8/p4A=")</f>
        <v>#REF!</v>
      </c>
      <c r="DZ85" s="34" t="e">
        <f>AND(#REF!,"AAAAAG8/p4E=")</f>
        <v>#REF!</v>
      </c>
      <c r="EA85" s="34" t="e">
        <f>IF(#REF!,"AAAAAG8/p4I=",0)</f>
        <v>#REF!</v>
      </c>
      <c r="EB85" s="34" t="e">
        <f>AND(#REF!,"AAAAAG8/p4M=")</f>
        <v>#REF!</v>
      </c>
      <c r="EC85" s="34" t="e">
        <f>AND(#REF!,"AAAAAG8/p4Q=")</f>
        <v>#REF!</v>
      </c>
      <c r="ED85" s="34" t="e">
        <f>AND(#REF!,"AAAAAG8/p4U=")</f>
        <v>#REF!</v>
      </c>
      <c r="EE85" s="34" t="e">
        <f>AND(#REF!,"AAAAAG8/p4Y=")</f>
        <v>#REF!</v>
      </c>
      <c r="EF85" s="34" t="e">
        <f>AND(#REF!,"AAAAAG8/p4c=")</f>
        <v>#REF!</v>
      </c>
      <c r="EG85" s="34" t="e">
        <f>AND(#REF!,"AAAAAG8/p4g=")</f>
        <v>#REF!</v>
      </c>
      <c r="EH85" s="34" t="e">
        <f>AND(#REF!,"AAAAAG8/p4k=")</f>
        <v>#REF!</v>
      </c>
      <c r="EI85" s="34" t="e">
        <f>AND(#REF!,"AAAAAG8/p4o=")</f>
        <v>#REF!</v>
      </c>
      <c r="EJ85" s="34" t="e">
        <f>AND(#REF!,"AAAAAG8/p4s=")</f>
        <v>#REF!</v>
      </c>
      <c r="EK85" s="34" t="e">
        <f>AND(#REF!,"AAAAAG8/p4w=")</f>
        <v>#REF!</v>
      </c>
      <c r="EL85" s="34" t="e">
        <f>AND(#REF!,"AAAAAG8/p40=")</f>
        <v>#REF!</v>
      </c>
      <c r="EM85" s="34" t="e">
        <f>AND(#REF!,"AAAAAG8/p44=")</f>
        <v>#REF!</v>
      </c>
      <c r="EN85" s="34" t="e">
        <f>AND(#REF!,"AAAAAG8/p48=")</f>
        <v>#REF!</v>
      </c>
      <c r="EO85" s="34" t="e">
        <f>AND(#REF!,"AAAAAG8/p5A=")</f>
        <v>#REF!</v>
      </c>
      <c r="EP85" s="34" t="e">
        <f>AND(#REF!,"AAAAAG8/p5E=")</f>
        <v>#REF!</v>
      </c>
      <c r="EQ85" s="34" t="e">
        <f>AND(#REF!,"AAAAAG8/p5I=")</f>
        <v>#REF!</v>
      </c>
      <c r="ER85" s="34" t="e">
        <f>IF(#REF!,"AAAAAG8/p5M=",0)</f>
        <v>#REF!</v>
      </c>
      <c r="ES85" s="34" t="e">
        <f>AND(#REF!,"AAAAAG8/p5Q=")</f>
        <v>#REF!</v>
      </c>
      <c r="ET85" s="34" t="e">
        <f>AND(#REF!,"AAAAAG8/p5U=")</f>
        <v>#REF!</v>
      </c>
      <c r="EU85" s="34" t="e">
        <f>AND(#REF!,"AAAAAG8/p5Y=")</f>
        <v>#REF!</v>
      </c>
      <c r="EV85" s="34" t="e">
        <f>AND(#REF!,"AAAAAG8/p5c=")</f>
        <v>#REF!</v>
      </c>
      <c r="EW85" s="34" t="e">
        <f>AND(#REF!,"AAAAAG8/p5g=")</f>
        <v>#REF!</v>
      </c>
      <c r="EX85" s="34" t="e">
        <f>AND(#REF!,"AAAAAG8/p5k=")</f>
        <v>#REF!</v>
      </c>
      <c r="EY85" s="34" t="e">
        <f>AND(#REF!,"AAAAAG8/p5o=")</f>
        <v>#REF!</v>
      </c>
      <c r="EZ85" s="34" t="e">
        <f>AND(#REF!,"AAAAAG8/p5s=")</f>
        <v>#REF!</v>
      </c>
      <c r="FA85" s="34" t="e">
        <f>AND(#REF!,"AAAAAG8/p5w=")</f>
        <v>#REF!</v>
      </c>
      <c r="FB85" s="34" t="e">
        <f>AND(#REF!,"AAAAAG8/p50=")</f>
        <v>#REF!</v>
      </c>
      <c r="FC85" s="34" t="e">
        <f>AND(#REF!,"AAAAAG8/p54=")</f>
        <v>#REF!</v>
      </c>
      <c r="FD85" s="34" t="e">
        <f>AND(#REF!,"AAAAAG8/p58=")</f>
        <v>#REF!</v>
      </c>
      <c r="FE85" s="34" t="e">
        <f>AND(#REF!,"AAAAAG8/p6A=")</f>
        <v>#REF!</v>
      </c>
      <c r="FF85" s="34" t="e">
        <f>AND(#REF!,"AAAAAG8/p6E=")</f>
        <v>#REF!</v>
      </c>
      <c r="FG85" s="34" t="e">
        <f>AND(#REF!,"AAAAAG8/p6I=")</f>
        <v>#REF!</v>
      </c>
      <c r="FH85" s="34" t="e">
        <f>AND(#REF!,"AAAAAG8/p6M=")</f>
        <v>#REF!</v>
      </c>
      <c r="FI85" s="34" t="e">
        <f>IF(#REF!,"AAAAAG8/p6Q=",0)</f>
        <v>#REF!</v>
      </c>
      <c r="FJ85" s="34" t="e">
        <f>AND(#REF!,"AAAAAG8/p6U=")</f>
        <v>#REF!</v>
      </c>
      <c r="FK85" s="34" t="e">
        <f>AND(#REF!,"AAAAAG8/p6Y=")</f>
        <v>#REF!</v>
      </c>
      <c r="FL85" s="34" t="e">
        <f>AND(#REF!,"AAAAAG8/p6c=")</f>
        <v>#REF!</v>
      </c>
      <c r="FM85" s="34" t="e">
        <f>AND(#REF!,"AAAAAG8/p6g=")</f>
        <v>#REF!</v>
      </c>
      <c r="FN85" s="34" t="e">
        <f>AND(#REF!,"AAAAAG8/p6k=")</f>
        <v>#REF!</v>
      </c>
      <c r="FO85" s="34" t="e">
        <f>AND(#REF!,"AAAAAG8/p6o=")</f>
        <v>#REF!</v>
      </c>
      <c r="FP85" s="34" t="e">
        <f>AND(#REF!,"AAAAAG8/p6s=")</f>
        <v>#REF!</v>
      </c>
      <c r="FQ85" s="34" t="e">
        <f>AND(#REF!,"AAAAAG8/p6w=")</f>
        <v>#REF!</v>
      </c>
      <c r="FR85" s="34" t="e">
        <f>AND(#REF!,"AAAAAG8/p60=")</f>
        <v>#REF!</v>
      </c>
      <c r="FS85" s="34" t="e">
        <f>AND(#REF!,"AAAAAG8/p64=")</f>
        <v>#REF!</v>
      </c>
      <c r="FT85" s="34" t="e">
        <f>AND(#REF!,"AAAAAG8/p68=")</f>
        <v>#REF!</v>
      </c>
      <c r="FU85" s="34" t="e">
        <f>AND(#REF!,"AAAAAG8/p7A=")</f>
        <v>#REF!</v>
      </c>
      <c r="FV85" s="34" t="e">
        <f>AND(#REF!,"AAAAAG8/p7E=")</f>
        <v>#REF!</v>
      </c>
      <c r="FW85" s="34" t="e">
        <f>AND(#REF!,"AAAAAG8/p7I=")</f>
        <v>#REF!</v>
      </c>
      <c r="FX85" s="34" t="e">
        <f>AND(#REF!,"AAAAAG8/p7M=")</f>
        <v>#REF!</v>
      </c>
      <c r="FY85" s="34" t="e">
        <f>AND(#REF!,"AAAAAG8/p7Q=")</f>
        <v>#REF!</v>
      </c>
      <c r="FZ85" s="34" t="e">
        <f>IF(#REF!,"AAAAAG8/p7U=",0)</f>
        <v>#REF!</v>
      </c>
      <c r="GA85" s="34" t="e">
        <f>AND(#REF!,"AAAAAG8/p7Y=")</f>
        <v>#REF!</v>
      </c>
      <c r="GB85" s="34" t="e">
        <f>AND(#REF!,"AAAAAG8/p7c=")</f>
        <v>#REF!</v>
      </c>
      <c r="GC85" s="34" t="e">
        <f>AND(#REF!,"AAAAAG8/p7g=")</f>
        <v>#REF!</v>
      </c>
      <c r="GD85" s="34" t="e">
        <f>AND(#REF!,"AAAAAG8/p7k=")</f>
        <v>#REF!</v>
      </c>
      <c r="GE85" s="34" t="e">
        <f>AND(#REF!,"AAAAAG8/p7o=")</f>
        <v>#REF!</v>
      </c>
      <c r="GF85" s="34" t="e">
        <f>AND(#REF!,"AAAAAG8/p7s=")</f>
        <v>#REF!</v>
      </c>
      <c r="GG85" s="34" t="e">
        <f>AND(#REF!,"AAAAAG8/p7w=")</f>
        <v>#REF!</v>
      </c>
      <c r="GH85" s="34" t="e">
        <f>AND(#REF!,"AAAAAG8/p70=")</f>
        <v>#REF!</v>
      </c>
      <c r="GI85" s="34" t="e">
        <f>AND(#REF!,"AAAAAG8/p74=")</f>
        <v>#REF!</v>
      </c>
      <c r="GJ85" s="34" t="e">
        <f>AND(#REF!,"AAAAAG8/p78=")</f>
        <v>#REF!</v>
      </c>
      <c r="GK85" s="34" t="e">
        <f>AND(#REF!,"AAAAAG8/p8A=")</f>
        <v>#REF!</v>
      </c>
      <c r="GL85" s="34" t="e">
        <f>AND(#REF!,"AAAAAG8/p8E=")</f>
        <v>#REF!</v>
      </c>
      <c r="GM85" s="34" t="e">
        <f>AND(#REF!,"AAAAAG8/p8I=")</f>
        <v>#REF!</v>
      </c>
      <c r="GN85" s="34" t="e">
        <f>AND(#REF!,"AAAAAG8/p8M=")</f>
        <v>#REF!</v>
      </c>
      <c r="GO85" s="34" t="e">
        <f>AND(#REF!,"AAAAAG8/p8Q=")</f>
        <v>#REF!</v>
      </c>
      <c r="GP85" s="34" t="e">
        <f>AND(#REF!,"AAAAAG8/p8U=")</f>
        <v>#REF!</v>
      </c>
      <c r="GQ85" s="34" t="e">
        <f>IF(#REF!,"AAAAAG8/p8Y=",0)</f>
        <v>#REF!</v>
      </c>
      <c r="GR85" s="34" t="e">
        <f>AND(#REF!,"AAAAAG8/p8c=")</f>
        <v>#REF!</v>
      </c>
      <c r="GS85" s="34" t="e">
        <f>AND(#REF!,"AAAAAG8/p8g=")</f>
        <v>#REF!</v>
      </c>
      <c r="GT85" s="34" t="e">
        <f>AND(#REF!,"AAAAAG8/p8k=")</f>
        <v>#REF!</v>
      </c>
      <c r="GU85" s="34" t="e">
        <f>AND(#REF!,"AAAAAG8/p8o=")</f>
        <v>#REF!</v>
      </c>
      <c r="GV85" s="34" t="e">
        <f>AND(#REF!,"AAAAAG8/p8s=")</f>
        <v>#REF!</v>
      </c>
      <c r="GW85" s="34" t="e">
        <f>AND(#REF!,"AAAAAG8/p8w=")</f>
        <v>#REF!</v>
      </c>
      <c r="GX85" s="34" t="e">
        <f>AND(#REF!,"AAAAAG8/p80=")</f>
        <v>#REF!</v>
      </c>
      <c r="GY85" s="34" t="e">
        <f>AND(#REF!,"AAAAAG8/p84=")</f>
        <v>#REF!</v>
      </c>
      <c r="GZ85" s="34" t="e">
        <f>AND(#REF!,"AAAAAG8/p88=")</f>
        <v>#REF!</v>
      </c>
      <c r="HA85" s="34" t="e">
        <f>AND(#REF!,"AAAAAG8/p9A=")</f>
        <v>#REF!</v>
      </c>
      <c r="HB85" s="34" t="e">
        <f>AND(#REF!,"AAAAAG8/p9E=")</f>
        <v>#REF!</v>
      </c>
      <c r="HC85" s="34" t="e">
        <f>AND(#REF!,"AAAAAG8/p9I=")</f>
        <v>#REF!</v>
      </c>
      <c r="HD85" s="34" t="e">
        <f>AND(#REF!,"AAAAAG8/p9M=")</f>
        <v>#REF!</v>
      </c>
      <c r="HE85" s="34" t="e">
        <f>AND(#REF!,"AAAAAG8/p9Q=")</f>
        <v>#REF!</v>
      </c>
      <c r="HF85" s="34" t="e">
        <f>AND(#REF!,"AAAAAG8/p9U=")</f>
        <v>#REF!</v>
      </c>
      <c r="HG85" s="34" t="e">
        <f>AND(#REF!,"AAAAAG8/p9Y=")</f>
        <v>#REF!</v>
      </c>
      <c r="HH85" s="34" t="e">
        <f>IF(#REF!,"AAAAAG8/p9c=",0)</f>
        <v>#REF!</v>
      </c>
      <c r="HI85" s="34" t="e">
        <f>AND(#REF!,"AAAAAG8/p9g=")</f>
        <v>#REF!</v>
      </c>
      <c r="HJ85" s="34" t="e">
        <f>AND(#REF!,"AAAAAG8/p9k=")</f>
        <v>#REF!</v>
      </c>
      <c r="HK85" s="34" t="e">
        <f>AND(#REF!,"AAAAAG8/p9o=")</f>
        <v>#REF!</v>
      </c>
      <c r="HL85" s="34" t="e">
        <f>AND(#REF!,"AAAAAG8/p9s=")</f>
        <v>#REF!</v>
      </c>
      <c r="HM85" s="34" t="e">
        <f>AND(#REF!,"AAAAAG8/p9w=")</f>
        <v>#REF!</v>
      </c>
      <c r="HN85" s="34" t="e">
        <f>AND(#REF!,"AAAAAG8/p90=")</f>
        <v>#REF!</v>
      </c>
      <c r="HO85" s="34" t="e">
        <f>AND(#REF!,"AAAAAG8/p94=")</f>
        <v>#REF!</v>
      </c>
      <c r="HP85" s="34" t="e">
        <f>AND(#REF!,"AAAAAG8/p98=")</f>
        <v>#REF!</v>
      </c>
      <c r="HQ85" s="34" t="e">
        <f>AND(#REF!,"AAAAAG8/p+A=")</f>
        <v>#REF!</v>
      </c>
      <c r="HR85" s="34" t="e">
        <f>AND(#REF!,"AAAAAG8/p+E=")</f>
        <v>#REF!</v>
      </c>
      <c r="HS85" s="34" t="e">
        <f>AND(#REF!,"AAAAAG8/p+I=")</f>
        <v>#REF!</v>
      </c>
      <c r="HT85" s="34" t="e">
        <f>AND(#REF!,"AAAAAG8/p+M=")</f>
        <v>#REF!</v>
      </c>
      <c r="HU85" s="34" t="e">
        <f>AND(#REF!,"AAAAAG8/p+Q=")</f>
        <v>#REF!</v>
      </c>
      <c r="HV85" s="34" t="e">
        <f>AND(#REF!,"AAAAAG8/p+U=")</f>
        <v>#REF!</v>
      </c>
      <c r="HW85" s="34" t="e">
        <f>AND(#REF!,"AAAAAG8/p+Y=")</f>
        <v>#REF!</v>
      </c>
      <c r="HX85" s="34" t="e">
        <f>AND(#REF!,"AAAAAG8/p+c=")</f>
        <v>#REF!</v>
      </c>
      <c r="HY85" s="34" t="e">
        <f>IF(#REF!,"AAAAAG8/p+g=",0)</f>
        <v>#REF!</v>
      </c>
      <c r="HZ85" s="34" t="e">
        <f>AND(#REF!,"AAAAAG8/p+k=")</f>
        <v>#REF!</v>
      </c>
      <c r="IA85" s="34" t="e">
        <f>AND(#REF!,"AAAAAG8/p+o=")</f>
        <v>#REF!</v>
      </c>
      <c r="IB85" s="34" t="e">
        <f>AND(#REF!,"AAAAAG8/p+s=")</f>
        <v>#REF!</v>
      </c>
      <c r="IC85" s="34" t="e">
        <f>AND(#REF!,"AAAAAG8/p+w=")</f>
        <v>#REF!</v>
      </c>
      <c r="ID85" s="34" t="e">
        <f>AND(#REF!,"AAAAAG8/p+0=")</f>
        <v>#REF!</v>
      </c>
      <c r="IE85" s="34" t="e">
        <f>AND(#REF!,"AAAAAG8/p+4=")</f>
        <v>#REF!</v>
      </c>
      <c r="IF85" s="34" t="e">
        <f>AND(#REF!,"AAAAAG8/p+8=")</f>
        <v>#REF!</v>
      </c>
      <c r="IG85" s="34" t="e">
        <f>AND(#REF!,"AAAAAG8/p/A=")</f>
        <v>#REF!</v>
      </c>
      <c r="IH85" s="34" t="e">
        <f>AND(#REF!,"AAAAAG8/p/E=")</f>
        <v>#REF!</v>
      </c>
      <c r="II85" s="34" t="e">
        <f>AND(#REF!,"AAAAAG8/p/I=")</f>
        <v>#REF!</v>
      </c>
      <c r="IJ85" s="34" t="e">
        <f>AND(#REF!,"AAAAAG8/p/M=")</f>
        <v>#REF!</v>
      </c>
      <c r="IK85" s="34" t="e">
        <f>AND(#REF!,"AAAAAG8/p/Q=")</f>
        <v>#REF!</v>
      </c>
      <c r="IL85" s="34" t="e">
        <f>AND(#REF!,"AAAAAG8/p/U=")</f>
        <v>#REF!</v>
      </c>
      <c r="IM85" s="34" t="e">
        <f>AND(#REF!,"AAAAAG8/p/Y=")</f>
        <v>#REF!</v>
      </c>
      <c r="IN85" s="34" t="e">
        <f>AND(#REF!,"AAAAAG8/p/c=")</f>
        <v>#REF!</v>
      </c>
      <c r="IO85" s="34" t="e">
        <f>AND(#REF!,"AAAAAG8/p/g=")</f>
        <v>#REF!</v>
      </c>
      <c r="IP85" s="34" t="e">
        <f>IF(#REF!,"AAAAAG8/p/k=",0)</f>
        <v>#REF!</v>
      </c>
      <c r="IQ85" s="34" t="e">
        <f>AND(#REF!,"AAAAAG8/p/o=")</f>
        <v>#REF!</v>
      </c>
      <c r="IR85" s="34" t="e">
        <f>AND(#REF!,"AAAAAG8/p/s=")</f>
        <v>#REF!</v>
      </c>
      <c r="IS85" s="34" t="e">
        <f>AND(#REF!,"AAAAAG8/p/w=")</f>
        <v>#REF!</v>
      </c>
      <c r="IT85" s="34" t="e">
        <f>AND(#REF!,"AAAAAG8/p/0=")</f>
        <v>#REF!</v>
      </c>
      <c r="IU85" s="34" t="e">
        <f>AND(#REF!,"AAAAAG8/p/4=")</f>
        <v>#REF!</v>
      </c>
      <c r="IV85" s="34" t="e">
        <f>AND(#REF!,"AAAAAG8/p/8=")</f>
        <v>#REF!</v>
      </c>
    </row>
    <row r="86" spans="1:256" ht="12.75" customHeight="1" x14ac:dyDescent="0.2">
      <c r="A86" s="34" t="e">
        <f>AND(#REF!,"AAAAAG79/wA=")</f>
        <v>#REF!</v>
      </c>
      <c r="B86" s="34" t="e">
        <f>AND(#REF!,"AAAAAG79/wE=")</f>
        <v>#REF!</v>
      </c>
      <c r="C86" s="34" t="e">
        <f>AND(#REF!,"AAAAAG79/wI=")</f>
        <v>#REF!</v>
      </c>
      <c r="D86" s="34" t="e">
        <f>AND(#REF!,"AAAAAG79/wM=")</f>
        <v>#REF!</v>
      </c>
      <c r="E86" s="34" t="e">
        <f>AND(#REF!,"AAAAAG79/wQ=")</f>
        <v>#REF!</v>
      </c>
      <c r="F86" s="34" t="e">
        <f>AND(#REF!,"AAAAAG79/wU=")</f>
        <v>#REF!</v>
      </c>
      <c r="G86" s="34" t="e">
        <f>AND(#REF!,"AAAAAG79/wY=")</f>
        <v>#REF!</v>
      </c>
      <c r="H86" s="34" t="e">
        <f>AND(#REF!,"AAAAAG79/wc=")</f>
        <v>#REF!</v>
      </c>
      <c r="I86" s="34" t="e">
        <f>AND(#REF!,"AAAAAG79/wg=")</f>
        <v>#REF!</v>
      </c>
      <c r="J86" s="34" t="e">
        <f>AND(#REF!,"AAAAAG79/wk=")</f>
        <v>#REF!</v>
      </c>
      <c r="K86" s="34" t="e">
        <f>IF(#REF!,"AAAAAG79/wo=",0)</f>
        <v>#REF!</v>
      </c>
      <c r="L86" s="34" t="e">
        <f>AND(#REF!,"AAAAAG79/ws=")</f>
        <v>#REF!</v>
      </c>
      <c r="M86" s="34" t="e">
        <f>AND(#REF!,"AAAAAG79/ww=")</f>
        <v>#REF!</v>
      </c>
      <c r="N86" s="34" t="e">
        <f>AND(#REF!,"AAAAAG79/w0=")</f>
        <v>#REF!</v>
      </c>
      <c r="O86" s="34" t="e">
        <f>AND(#REF!,"AAAAAG79/w4=")</f>
        <v>#REF!</v>
      </c>
      <c r="P86" s="34" t="e">
        <f>AND(#REF!,"AAAAAG79/w8=")</f>
        <v>#REF!</v>
      </c>
      <c r="Q86" s="34" t="e">
        <f>AND(#REF!,"AAAAAG79/xA=")</f>
        <v>#REF!</v>
      </c>
      <c r="R86" s="34" t="e">
        <f>AND(#REF!,"AAAAAG79/xE=")</f>
        <v>#REF!</v>
      </c>
      <c r="S86" s="34" t="e">
        <f>AND(#REF!,"AAAAAG79/xI=")</f>
        <v>#REF!</v>
      </c>
      <c r="T86" s="34" t="e">
        <f>AND(#REF!,"AAAAAG79/xM=")</f>
        <v>#REF!</v>
      </c>
      <c r="U86" s="34" t="e">
        <f>AND(#REF!,"AAAAAG79/xQ=")</f>
        <v>#REF!</v>
      </c>
      <c r="V86" s="34" t="e">
        <f>AND(#REF!,"AAAAAG79/xU=")</f>
        <v>#REF!</v>
      </c>
      <c r="W86" s="34" t="e">
        <f>AND(#REF!,"AAAAAG79/xY=")</f>
        <v>#REF!</v>
      </c>
      <c r="X86" s="34" t="e">
        <f>AND(#REF!,"AAAAAG79/xc=")</f>
        <v>#REF!</v>
      </c>
      <c r="Y86" s="34" t="e">
        <f>AND(#REF!,"AAAAAG79/xg=")</f>
        <v>#REF!</v>
      </c>
      <c r="Z86" s="34" t="e">
        <f>AND(#REF!,"AAAAAG79/xk=")</f>
        <v>#REF!</v>
      </c>
      <c r="AA86" s="34" t="e">
        <f>AND(#REF!,"AAAAAG79/xo=")</f>
        <v>#REF!</v>
      </c>
      <c r="AB86" s="34" t="e">
        <f>IF(#REF!,"AAAAAG79/xs=",0)</f>
        <v>#REF!</v>
      </c>
      <c r="AC86" s="34" t="e">
        <f>AND(#REF!,"AAAAAG79/xw=")</f>
        <v>#REF!</v>
      </c>
      <c r="AD86" s="34" t="e">
        <f>AND(#REF!,"AAAAAG79/x0=")</f>
        <v>#REF!</v>
      </c>
      <c r="AE86" s="34" t="e">
        <f>AND(#REF!,"AAAAAG79/x4=")</f>
        <v>#REF!</v>
      </c>
      <c r="AF86" s="34" t="e">
        <f>AND(#REF!,"AAAAAG79/x8=")</f>
        <v>#REF!</v>
      </c>
      <c r="AG86" s="34" t="e">
        <f>AND(#REF!,"AAAAAG79/yA=")</f>
        <v>#REF!</v>
      </c>
      <c r="AH86" s="34" t="e">
        <f>AND(#REF!,"AAAAAG79/yE=")</f>
        <v>#REF!</v>
      </c>
      <c r="AI86" s="34" t="e">
        <f>AND(#REF!,"AAAAAG79/yI=")</f>
        <v>#REF!</v>
      </c>
      <c r="AJ86" s="34" t="e">
        <f>AND(#REF!,"AAAAAG79/yM=")</f>
        <v>#REF!</v>
      </c>
      <c r="AK86" s="34" t="e">
        <f>AND(#REF!,"AAAAAG79/yQ=")</f>
        <v>#REF!</v>
      </c>
      <c r="AL86" s="34" t="e">
        <f>AND(#REF!,"AAAAAG79/yU=")</f>
        <v>#REF!</v>
      </c>
      <c r="AM86" s="34" t="e">
        <f>AND(#REF!,"AAAAAG79/yY=")</f>
        <v>#REF!</v>
      </c>
      <c r="AN86" s="34" t="e">
        <f>AND(#REF!,"AAAAAG79/yc=")</f>
        <v>#REF!</v>
      </c>
      <c r="AO86" s="34" t="e">
        <f>AND(#REF!,"AAAAAG79/yg=")</f>
        <v>#REF!</v>
      </c>
      <c r="AP86" s="34" t="e">
        <f>AND(#REF!,"AAAAAG79/yk=")</f>
        <v>#REF!</v>
      </c>
      <c r="AQ86" s="34" t="e">
        <f>AND(#REF!,"AAAAAG79/yo=")</f>
        <v>#REF!</v>
      </c>
      <c r="AR86" s="34" t="e">
        <f>AND(#REF!,"AAAAAG79/ys=")</f>
        <v>#REF!</v>
      </c>
      <c r="AS86" s="34" t="e">
        <f>IF(#REF!,"AAAAAG79/yw=",0)</f>
        <v>#REF!</v>
      </c>
      <c r="AT86" s="34" t="e">
        <f>AND(#REF!,"AAAAAG79/y0=")</f>
        <v>#REF!</v>
      </c>
      <c r="AU86" s="34" t="e">
        <f>AND(#REF!,"AAAAAG79/y4=")</f>
        <v>#REF!</v>
      </c>
      <c r="AV86" s="34" t="e">
        <f>AND(#REF!,"AAAAAG79/y8=")</f>
        <v>#REF!</v>
      </c>
      <c r="AW86" s="34" t="e">
        <f>AND(#REF!,"AAAAAG79/zA=")</f>
        <v>#REF!</v>
      </c>
      <c r="AX86" s="34" t="e">
        <f>AND(#REF!,"AAAAAG79/zE=")</f>
        <v>#REF!</v>
      </c>
      <c r="AY86" s="34" t="e">
        <f>AND(#REF!,"AAAAAG79/zI=")</f>
        <v>#REF!</v>
      </c>
      <c r="AZ86" s="34" t="e">
        <f>AND(#REF!,"AAAAAG79/zM=")</f>
        <v>#REF!</v>
      </c>
      <c r="BA86" s="34" t="e">
        <f>AND(#REF!,"AAAAAG79/zQ=")</f>
        <v>#REF!</v>
      </c>
      <c r="BB86" s="34" t="e">
        <f>AND(#REF!,"AAAAAG79/zU=")</f>
        <v>#REF!</v>
      </c>
      <c r="BC86" s="34" t="e">
        <f>AND(#REF!,"AAAAAG79/zY=")</f>
        <v>#REF!</v>
      </c>
      <c r="BD86" s="34" t="e">
        <f>AND(#REF!,"AAAAAG79/zc=")</f>
        <v>#REF!</v>
      </c>
      <c r="BE86" s="34" t="e">
        <f>AND(#REF!,"AAAAAG79/zg=")</f>
        <v>#REF!</v>
      </c>
      <c r="BF86" s="34" t="e">
        <f>AND(#REF!,"AAAAAG79/zk=")</f>
        <v>#REF!</v>
      </c>
      <c r="BG86" s="34" t="e">
        <f>AND(#REF!,"AAAAAG79/zo=")</f>
        <v>#REF!</v>
      </c>
      <c r="BH86" s="34" t="e">
        <f>AND(#REF!,"AAAAAG79/zs=")</f>
        <v>#REF!</v>
      </c>
      <c r="BI86" s="34" t="e">
        <f>AND(#REF!,"AAAAAG79/zw=")</f>
        <v>#REF!</v>
      </c>
      <c r="BJ86" s="34" t="e">
        <f>IF(#REF!,"AAAAAG79/z0=",0)</f>
        <v>#REF!</v>
      </c>
      <c r="BK86" s="34" t="e">
        <f>AND(#REF!,"AAAAAG79/z4=")</f>
        <v>#REF!</v>
      </c>
      <c r="BL86" s="34" t="e">
        <f>AND(#REF!,"AAAAAG79/z8=")</f>
        <v>#REF!</v>
      </c>
      <c r="BM86" s="34" t="e">
        <f>AND(#REF!,"AAAAAG79/0A=")</f>
        <v>#REF!</v>
      </c>
      <c r="BN86" s="34" t="e">
        <f>AND(#REF!,"AAAAAG79/0E=")</f>
        <v>#REF!</v>
      </c>
      <c r="BO86" s="34" t="e">
        <f>AND(#REF!,"AAAAAG79/0I=")</f>
        <v>#REF!</v>
      </c>
      <c r="BP86" s="34" t="e">
        <f>AND(#REF!,"AAAAAG79/0M=")</f>
        <v>#REF!</v>
      </c>
      <c r="BQ86" s="34" t="e">
        <f>AND(#REF!,"AAAAAG79/0Q=")</f>
        <v>#REF!</v>
      </c>
      <c r="BR86" s="34" t="e">
        <f>AND(#REF!,"AAAAAG79/0U=")</f>
        <v>#REF!</v>
      </c>
      <c r="BS86" s="34" t="e">
        <f>AND(#REF!,"AAAAAG79/0Y=")</f>
        <v>#REF!</v>
      </c>
      <c r="BT86" s="34" t="e">
        <f>AND(#REF!,"AAAAAG79/0c=")</f>
        <v>#REF!</v>
      </c>
      <c r="BU86" s="34" t="e">
        <f>AND(#REF!,"AAAAAG79/0g=")</f>
        <v>#REF!</v>
      </c>
      <c r="BV86" s="34" t="e">
        <f>AND(#REF!,"AAAAAG79/0k=")</f>
        <v>#REF!</v>
      </c>
      <c r="BW86" s="34" t="e">
        <f>AND(#REF!,"AAAAAG79/0o=")</f>
        <v>#REF!</v>
      </c>
      <c r="BX86" s="34" t="e">
        <f>AND(#REF!,"AAAAAG79/0s=")</f>
        <v>#REF!</v>
      </c>
      <c r="BY86" s="34" t="e">
        <f>AND(#REF!,"AAAAAG79/0w=")</f>
        <v>#REF!</v>
      </c>
      <c r="BZ86" s="34" t="e">
        <f>AND(#REF!,"AAAAAG79/00=")</f>
        <v>#REF!</v>
      </c>
      <c r="CA86" s="34" t="e">
        <f>IF(#REF!,"AAAAAG79/04=",0)</f>
        <v>#REF!</v>
      </c>
      <c r="CB86" s="34" t="e">
        <f>AND(#REF!,"AAAAAG79/08=")</f>
        <v>#REF!</v>
      </c>
      <c r="CC86" s="34" t="e">
        <f>AND(#REF!,"AAAAAG79/1A=")</f>
        <v>#REF!</v>
      </c>
      <c r="CD86" s="34" t="e">
        <f>AND(#REF!,"AAAAAG79/1E=")</f>
        <v>#REF!</v>
      </c>
      <c r="CE86" s="34" t="e">
        <f>AND(#REF!,"AAAAAG79/1I=")</f>
        <v>#REF!</v>
      </c>
      <c r="CF86" s="34" t="e">
        <f>AND(#REF!,"AAAAAG79/1M=")</f>
        <v>#REF!</v>
      </c>
      <c r="CG86" s="34" t="e">
        <f>AND(#REF!,"AAAAAG79/1Q=")</f>
        <v>#REF!</v>
      </c>
      <c r="CH86" s="34" t="e">
        <f>AND(#REF!,"AAAAAG79/1U=")</f>
        <v>#REF!</v>
      </c>
      <c r="CI86" s="34" t="e">
        <f>AND(#REF!,"AAAAAG79/1Y=")</f>
        <v>#REF!</v>
      </c>
      <c r="CJ86" s="34" t="e">
        <f>AND(#REF!,"AAAAAG79/1c=")</f>
        <v>#REF!</v>
      </c>
      <c r="CK86" s="34" t="e">
        <f>AND(#REF!,"AAAAAG79/1g=")</f>
        <v>#REF!</v>
      </c>
      <c r="CL86" s="34" t="e">
        <f>AND(#REF!,"AAAAAG79/1k=")</f>
        <v>#REF!</v>
      </c>
      <c r="CM86" s="34" t="e">
        <f>AND(#REF!,"AAAAAG79/1o=")</f>
        <v>#REF!</v>
      </c>
      <c r="CN86" s="34" t="e">
        <f>AND(#REF!,"AAAAAG79/1s=")</f>
        <v>#REF!</v>
      </c>
      <c r="CO86" s="34" t="e">
        <f>AND(#REF!,"AAAAAG79/1w=")</f>
        <v>#REF!</v>
      </c>
      <c r="CP86" s="34" t="e">
        <f>AND(#REF!,"AAAAAG79/10=")</f>
        <v>#REF!</v>
      </c>
      <c r="CQ86" s="34" t="e">
        <f>AND(#REF!,"AAAAAG79/14=")</f>
        <v>#REF!</v>
      </c>
      <c r="CR86" s="34" t="e">
        <f>IF(#REF!,"AAAAAG79/18=",0)</f>
        <v>#REF!</v>
      </c>
      <c r="CS86" s="34" t="e">
        <f>AND(#REF!,"AAAAAG79/2A=")</f>
        <v>#REF!</v>
      </c>
      <c r="CT86" s="34" t="e">
        <f>AND(#REF!,"AAAAAG79/2E=")</f>
        <v>#REF!</v>
      </c>
      <c r="CU86" s="34" t="e">
        <f>AND(#REF!,"AAAAAG79/2I=")</f>
        <v>#REF!</v>
      </c>
      <c r="CV86" s="34" t="e">
        <f>AND(#REF!,"AAAAAG79/2M=")</f>
        <v>#REF!</v>
      </c>
      <c r="CW86" s="34" t="e">
        <f>AND(#REF!,"AAAAAG79/2Q=")</f>
        <v>#REF!</v>
      </c>
      <c r="CX86" s="34" t="e">
        <f>AND(#REF!,"AAAAAG79/2U=")</f>
        <v>#REF!</v>
      </c>
      <c r="CY86" s="34" t="e">
        <f>AND(#REF!,"AAAAAG79/2Y=")</f>
        <v>#REF!</v>
      </c>
      <c r="CZ86" s="34" t="e">
        <f>AND(#REF!,"AAAAAG79/2c=")</f>
        <v>#REF!</v>
      </c>
      <c r="DA86" s="34" t="e">
        <f>AND(#REF!,"AAAAAG79/2g=")</f>
        <v>#REF!</v>
      </c>
      <c r="DB86" s="34" t="e">
        <f>AND(#REF!,"AAAAAG79/2k=")</f>
        <v>#REF!</v>
      </c>
      <c r="DC86" s="34" t="e">
        <f>AND(#REF!,"AAAAAG79/2o=")</f>
        <v>#REF!</v>
      </c>
      <c r="DD86" s="34" t="e">
        <f>AND(#REF!,"AAAAAG79/2s=")</f>
        <v>#REF!</v>
      </c>
      <c r="DE86" s="34" t="e">
        <f>AND(#REF!,"AAAAAG79/2w=")</f>
        <v>#REF!</v>
      </c>
      <c r="DF86" s="34" t="e">
        <f>AND(#REF!,"AAAAAG79/20=")</f>
        <v>#REF!</v>
      </c>
      <c r="DG86" s="34" t="e">
        <f>AND(#REF!,"AAAAAG79/24=")</f>
        <v>#REF!</v>
      </c>
      <c r="DH86" s="34" t="e">
        <f>AND(#REF!,"AAAAAG79/28=")</f>
        <v>#REF!</v>
      </c>
      <c r="DI86" s="34" t="e">
        <f>IF(#REF!,"AAAAAG79/3A=",0)</f>
        <v>#REF!</v>
      </c>
      <c r="DJ86" s="34" t="e">
        <f>AND(#REF!,"AAAAAG79/3E=")</f>
        <v>#REF!</v>
      </c>
      <c r="DK86" s="34" t="e">
        <f>AND(#REF!,"AAAAAG79/3I=")</f>
        <v>#REF!</v>
      </c>
      <c r="DL86" s="34" t="e">
        <f>AND(#REF!,"AAAAAG79/3M=")</f>
        <v>#REF!</v>
      </c>
      <c r="DM86" s="34" t="e">
        <f>AND(#REF!,"AAAAAG79/3Q=")</f>
        <v>#REF!</v>
      </c>
      <c r="DN86" s="34" t="e">
        <f>AND(#REF!,"AAAAAG79/3U=")</f>
        <v>#REF!</v>
      </c>
      <c r="DO86" s="34" t="e">
        <f>AND(#REF!,"AAAAAG79/3Y=")</f>
        <v>#REF!</v>
      </c>
      <c r="DP86" s="34" t="e">
        <f>AND(#REF!,"AAAAAG79/3c=")</f>
        <v>#REF!</v>
      </c>
      <c r="DQ86" s="34" t="e">
        <f>AND(#REF!,"AAAAAG79/3g=")</f>
        <v>#REF!</v>
      </c>
      <c r="DR86" s="34" t="e">
        <f>AND(#REF!,"AAAAAG79/3k=")</f>
        <v>#REF!</v>
      </c>
      <c r="DS86" s="34" t="e">
        <f>AND(#REF!,"AAAAAG79/3o=")</f>
        <v>#REF!</v>
      </c>
      <c r="DT86" s="34" t="e">
        <f>AND(#REF!,"AAAAAG79/3s=")</f>
        <v>#REF!</v>
      </c>
      <c r="DU86" s="34" t="e">
        <f>AND(#REF!,"AAAAAG79/3w=")</f>
        <v>#REF!</v>
      </c>
      <c r="DV86" s="34" t="e">
        <f>AND(#REF!,"AAAAAG79/30=")</f>
        <v>#REF!</v>
      </c>
      <c r="DW86" s="34" t="e">
        <f>AND(#REF!,"AAAAAG79/34=")</f>
        <v>#REF!</v>
      </c>
      <c r="DX86" s="34" t="e">
        <f>AND(#REF!,"AAAAAG79/38=")</f>
        <v>#REF!</v>
      </c>
      <c r="DY86" s="34" t="e">
        <f>AND(#REF!,"AAAAAG79/4A=")</f>
        <v>#REF!</v>
      </c>
      <c r="DZ86" s="34" t="e">
        <f>IF(#REF!,"AAAAAG79/4E=",0)</f>
        <v>#REF!</v>
      </c>
      <c r="EA86" s="34" t="e">
        <f>AND(#REF!,"AAAAAG79/4I=")</f>
        <v>#REF!</v>
      </c>
      <c r="EB86" s="34" t="e">
        <f>AND(#REF!,"AAAAAG79/4M=")</f>
        <v>#REF!</v>
      </c>
      <c r="EC86" s="34" t="e">
        <f>AND(#REF!,"AAAAAG79/4Q=")</f>
        <v>#REF!</v>
      </c>
      <c r="ED86" s="34" t="e">
        <f>AND(#REF!,"AAAAAG79/4U=")</f>
        <v>#REF!</v>
      </c>
      <c r="EE86" s="34" t="e">
        <f>AND(#REF!,"AAAAAG79/4Y=")</f>
        <v>#REF!</v>
      </c>
      <c r="EF86" s="34" t="e">
        <f>AND(#REF!,"AAAAAG79/4c=")</f>
        <v>#REF!</v>
      </c>
      <c r="EG86" s="34" t="e">
        <f>AND(#REF!,"AAAAAG79/4g=")</f>
        <v>#REF!</v>
      </c>
      <c r="EH86" s="34" t="e">
        <f>AND(#REF!,"AAAAAG79/4k=")</f>
        <v>#REF!</v>
      </c>
      <c r="EI86" s="34" t="e">
        <f>AND(#REF!,"AAAAAG79/4o=")</f>
        <v>#REF!</v>
      </c>
      <c r="EJ86" s="34" t="e">
        <f>AND(#REF!,"AAAAAG79/4s=")</f>
        <v>#REF!</v>
      </c>
      <c r="EK86" s="34" t="e">
        <f>AND(#REF!,"AAAAAG79/4w=")</f>
        <v>#REF!</v>
      </c>
      <c r="EL86" s="34" t="e">
        <f>AND(#REF!,"AAAAAG79/40=")</f>
        <v>#REF!</v>
      </c>
      <c r="EM86" s="34" t="e">
        <f>AND(#REF!,"AAAAAG79/44=")</f>
        <v>#REF!</v>
      </c>
      <c r="EN86" s="34" t="e">
        <f>AND(#REF!,"AAAAAG79/48=")</f>
        <v>#REF!</v>
      </c>
      <c r="EO86" s="34" t="e">
        <f>AND(#REF!,"AAAAAG79/5A=")</f>
        <v>#REF!</v>
      </c>
      <c r="EP86" s="34" t="e">
        <f>AND(#REF!,"AAAAAG79/5E=")</f>
        <v>#REF!</v>
      </c>
      <c r="EQ86" s="34" t="e">
        <f>IF(#REF!,"AAAAAG79/5I=",0)</f>
        <v>#REF!</v>
      </c>
      <c r="ER86" s="34" t="e">
        <f>AND(#REF!,"AAAAAG79/5M=")</f>
        <v>#REF!</v>
      </c>
      <c r="ES86" s="34" t="e">
        <f>AND(#REF!,"AAAAAG79/5Q=")</f>
        <v>#REF!</v>
      </c>
      <c r="ET86" s="34" t="e">
        <f>AND(#REF!,"AAAAAG79/5U=")</f>
        <v>#REF!</v>
      </c>
      <c r="EU86" s="34" t="e">
        <f>AND(#REF!,"AAAAAG79/5Y=")</f>
        <v>#REF!</v>
      </c>
      <c r="EV86" s="34" t="e">
        <f>AND(#REF!,"AAAAAG79/5c=")</f>
        <v>#REF!</v>
      </c>
      <c r="EW86" s="34" t="e">
        <f>AND(#REF!,"AAAAAG79/5g=")</f>
        <v>#REF!</v>
      </c>
      <c r="EX86" s="34" t="e">
        <f>AND(#REF!,"AAAAAG79/5k=")</f>
        <v>#REF!</v>
      </c>
      <c r="EY86" s="34" t="e">
        <f>AND(#REF!,"AAAAAG79/5o=")</f>
        <v>#REF!</v>
      </c>
      <c r="EZ86" s="34" t="e">
        <f>AND(#REF!,"AAAAAG79/5s=")</f>
        <v>#REF!</v>
      </c>
      <c r="FA86" s="34" t="e">
        <f>AND(#REF!,"AAAAAG79/5w=")</f>
        <v>#REF!</v>
      </c>
      <c r="FB86" s="34" t="e">
        <f>AND(#REF!,"AAAAAG79/50=")</f>
        <v>#REF!</v>
      </c>
      <c r="FC86" s="34" t="e">
        <f>AND(#REF!,"AAAAAG79/54=")</f>
        <v>#REF!</v>
      </c>
      <c r="FD86" s="34" t="e">
        <f>AND(#REF!,"AAAAAG79/58=")</f>
        <v>#REF!</v>
      </c>
      <c r="FE86" s="34" t="e">
        <f>AND(#REF!,"AAAAAG79/6A=")</f>
        <v>#REF!</v>
      </c>
      <c r="FF86" s="34" t="e">
        <f>AND(#REF!,"AAAAAG79/6E=")</f>
        <v>#REF!</v>
      </c>
      <c r="FG86" s="34" t="e">
        <f>AND(#REF!,"AAAAAG79/6I=")</f>
        <v>#REF!</v>
      </c>
      <c r="FH86" s="34" t="e">
        <f>IF(#REF!,"AAAAAG79/6M=",0)</f>
        <v>#REF!</v>
      </c>
      <c r="FI86" s="34" t="e">
        <f>AND(#REF!,"AAAAAG79/6Q=")</f>
        <v>#REF!</v>
      </c>
      <c r="FJ86" s="34" t="e">
        <f>AND(#REF!,"AAAAAG79/6U=")</f>
        <v>#REF!</v>
      </c>
      <c r="FK86" s="34" t="e">
        <f>AND(#REF!,"AAAAAG79/6Y=")</f>
        <v>#REF!</v>
      </c>
      <c r="FL86" s="34" t="e">
        <f>AND(#REF!,"AAAAAG79/6c=")</f>
        <v>#REF!</v>
      </c>
      <c r="FM86" s="34" t="e">
        <f>AND(#REF!,"AAAAAG79/6g=")</f>
        <v>#REF!</v>
      </c>
      <c r="FN86" s="34" t="e">
        <f>AND(#REF!,"AAAAAG79/6k=")</f>
        <v>#REF!</v>
      </c>
      <c r="FO86" s="34" t="e">
        <f>AND(#REF!,"AAAAAG79/6o=")</f>
        <v>#REF!</v>
      </c>
      <c r="FP86" s="34" t="e">
        <f>AND(#REF!,"AAAAAG79/6s=")</f>
        <v>#REF!</v>
      </c>
      <c r="FQ86" s="34" t="e">
        <f>AND(#REF!,"AAAAAG79/6w=")</f>
        <v>#REF!</v>
      </c>
      <c r="FR86" s="34" t="e">
        <f>AND(#REF!,"AAAAAG79/60=")</f>
        <v>#REF!</v>
      </c>
      <c r="FS86" s="34" t="e">
        <f>AND(#REF!,"AAAAAG79/64=")</f>
        <v>#REF!</v>
      </c>
      <c r="FT86" s="34" t="e">
        <f>AND(#REF!,"AAAAAG79/68=")</f>
        <v>#REF!</v>
      </c>
      <c r="FU86" s="34" t="e">
        <f>AND(#REF!,"AAAAAG79/7A=")</f>
        <v>#REF!</v>
      </c>
      <c r="FV86" s="34" t="e">
        <f>AND(#REF!,"AAAAAG79/7E=")</f>
        <v>#REF!</v>
      </c>
      <c r="FW86" s="34" t="e">
        <f>AND(#REF!,"AAAAAG79/7I=")</f>
        <v>#REF!</v>
      </c>
      <c r="FX86" s="34" t="e">
        <f>AND(#REF!,"AAAAAG79/7M=")</f>
        <v>#REF!</v>
      </c>
      <c r="FY86" s="34" t="e">
        <f>IF(#REF!,"AAAAAG79/7Q=",0)</f>
        <v>#REF!</v>
      </c>
      <c r="FZ86" s="34" t="e">
        <f>AND(#REF!,"AAAAAG79/7U=")</f>
        <v>#REF!</v>
      </c>
      <c r="GA86" s="34" t="e">
        <f>AND(#REF!,"AAAAAG79/7Y=")</f>
        <v>#REF!</v>
      </c>
      <c r="GB86" s="34" t="e">
        <f>AND(#REF!,"AAAAAG79/7c=")</f>
        <v>#REF!</v>
      </c>
      <c r="GC86" s="34" t="e">
        <f>AND(#REF!,"AAAAAG79/7g=")</f>
        <v>#REF!</v>
      </c>
      <c r="GD86" s="34" t="e">
        <f>AND(#REF!,"AAAAAG79/7k=")</f>
        <v>#REF!</v>
      </c>
      <c r="GE86" s="34" t="e">
        <f>AND(#REF!,"AAAAAG79/7o=")</f>
        <v>#REF!</v>
      </c>
      <c r="GF86" s="34" t="e">
        <f>AND(#REF!,"AAAAAG79/7s=")</f>
        <v>#REF!</v>
      </c>
      <c r="GG86" s="34" t="e">
        <f>AND(#REF!,"AAAAAG79/7w=")</f>
        <v>#REF!</v>
      </c>
      <c r="GH86" s="34" t="e">
        <f>AND(#REF!,"AAAAAG79/70=")</f>
        <v>#REF!</v>
      </c>
      <c r="GI86" s="34" t="e">
        <f>AND(#REF!,"AAAAAG79/74=")</f>
        <v>#REF!</v>
      </c>
      <c r="GJ86" s="34" t="e">
        <f>AND(#REF!,"AAAAAG79/78=")</f>
        <v>#REF!</v>
      </c>
      <c r="GK86" s="34" t="e">
        <f>AND(#REF!,"AAAAAG79/8A=")</f>
        <v>#REF!</v>
      </c>
      <c r="GL86" s="34" t="e">
        <f>AND(#REF!,"AAAAAG79/8E=")</f>
        <v>#REF!</v>
      </c>
      <c r="GM86" s="34" t="e">
        <f>AND(#REF!,"AAAAAG79/8I=")</f>
        <v>#REF!</v>
      </c>
      <c r="GN86" s="34" t="e">
        <f>AND(#REF!,"AAAAAG79/8M=")</f>
        <v>#REF!</v>
      </c>
      <c r="GO86" s="34" t="e">
        <f>AND(#REF!,"AAAAAG79/8Q=")</f>
        <v>#REF!</v>
      </c>
      <c r="GP86" s="34" t="e">
        <f>IF(#REF!,"AAAAAG79/8U=",0)</f>
        <v>#REF!</v>
      </c>
      <c r="GQ86" s="34" t="e">
        <f>AND(#REF!,"AAAAAG79/8Y=")</f>
        <v>#REF!</v>
      </c>
      <c r="GR86" s="34" t="e">
        <f>AND(#REF!,"AAAAAG79/8c=")</f>
        <v>#REF!</v>
      </c>
      <c r="GS86" s="34" t="e">
        <f>AND(#REF!,"AAAAAG79/8g=")</f>
        <v>#REF!</v>
      </c>
      <c r="GT86" s="34" t="e">
        <f>AND(#REF!,"AAAAAG79/8k=")</f>
        <v>#REF!</v>
      </c>
      <c r="GU86" s="34" t="e">
        <f>AND(#REF!,"AAAAAG79/8o=")</f>
        <v>#REF!</v>
      </c>
      <c r="GV86" s="34" t="e">
        <f>AND(#REF!,"AAAAAG79/8s=")</f>
        <v>#REF!</v>
      </c>
      <c r="GW86" s="34" t="e">
        <f>AND(#REF!,"AAAAAG79/8w=")</f>
        <v>#REF!</v>
      </c>
      <c r="GX86" s="34" t="e">
        <f>AND(#REF!,"AAAAAG79/80=")</f>
        <v>#REF!</v>
      </c>
      <c r="GY86" s="34" t="e">
        <f>AND(#REF!,"AAAAAG79/84=")</f>
        <v>#REF!</v>
      </c>
      <c r="GZ86" s="34" t="e">
        <f>AND(#REF!,"AAAAAG79/88=")</f>
        <v>#REF!</v>
      </c>
      <c r="HA86" s="34" t="e">
        <f>AND(#REF!,"AAAAAG79/9A=")</f>
        <v>#REF!</v>
      </c>
      <c r="HB86" s="34" t="e">
        <f>AND(#REF!,"AAAAAG79/9E=")</f>
        <v>#REF!</v>
      </c>
      <c r="HC86" s="34" t="e">
        <f>AND(#REF!,"AAAAAG79/9I=")</f>
        <v>#REF!</v>
      </c>
      <c r="HD86" s="34" t="e">
        <f>AND(#REF!,"AAAAAG79/9M=")</f>
        <v>#REF!</v>
      </c>
      <c r="HE86" s="34" t="e">
        <f>AND(#REF!,"AAAAAG79/9Q=")</f>
        <v>#REF!</v>
      </c>
      <c r="HF86" s="34" t="e">
        <f>AND(#REF!,"AAAAAG79/9U=")</f>
        <v>#REF!</v>
      </c>
      <c r="HG86" s="34" t="e">
        <f>IF(#REF!,"AAAAAG79/9Y=",0)</f>
        <v>#REF!</v>
      </c>
      <c r="HH86" s="34" t="e">
        <f>AND(#REF!,"AAAAAG79/9c=")</f>
        <v>#REF!</v>
      </c>
      <c r="HI86" s="34" t="e">
        <f>AND(#REF!,"AAAAAG79/9g=")</f>
        <v>#REF!</v>
      </c>
      <c r="HJ86" s="34" t="e">
        <f>AND(#REF!,"AAAAAG79/9k=")</f>
        <v>#REF!</v>
      </c>
      <c r="HK86" s="34" t="e">
        <f>AND(#REF!,"AAAAAG79/9o=")</f>
        <v>#REF!</v>
      </c>
      <c r="HL86" s="34" t="e">
        <f>AND(#REF!,"AAAAAG79/9s=")</f>
        <v>#REF!</v>
      </c>
      <c r="HM86" s="34" t="e">
        <f>AND(#REF!,"AAAAAG79/9w=")</f>
        <v>#REF!</v>
      </c>
      <c r="HN86" s="34" t="e">
        <f>AND(#REF!,"AAAAAG79/90=")</f>
        <v>#REF!</v>
      </c>
      <c r="HO86" s="34" t="e">
        <f>AND(#REF!,"AAAAAG79/94=")</f>
        <v>#REF!</v>
      </c>
      <c r="HP86" s="34" t="e">
        <f>AND(#REF!,"AAAAAG79/98=")</f>
        <v>#REF!</v>
      </c>
      <c r="HQ86" s="34" t="e">
        <f>AND(#REF!,"AAAAAG79/+A=")</f>
        <v>#REF!</v>
      </c>
      <c r="HR86" s="34" t="e">
        <f>AND(#REF!,"AAAAAG79/+E=")</f>
        <v>#REF!</v>
      </c>
      <c r="HS86" s="34" t="e">
        <f>AND(#REF!,"AAAAAG79/+I=")</f>
        <v>#REF!</v>
      </c>
      <c r="HT86" s="34" t="e">
        <f>AND(#REF!,"AAAAAG79/+M=")</f>
        <v>#REF!</v>
      </c>
      <c r="HU86" s="34" t="e">
        <f>AND(#REF!,"AAAAAG79/+Q=")</f>
        <v>#REF!</v>
      </c>
      <c r="HV86" s="34" t="e">
        <f>AND(#REF!,"AAAAAG79/+U=")</f>
        <v>#REF!</v>
      </c>
      <c r="HW86" s="34" t="e">
        <f>AND(#REF!,"AAAAAG79/+Y=")</f>
        <v>#REF!</v>
      </c>
      <c r="HX86" s="34" t="e">
        <f>IF(#REF!,"AAAAAG79/+c=",0)</f>
        <v>#REF!</v>
      </c>
      <c r="HY86" s="34" t="e">
        <f>AND(#REF!,"AAAAAG79/+g=")</f>
        <v>#REF!</v>
      </c>
      <c r="HZ86" s="34" t="e">
        <f>AND(#REF!,"AAAAAG79/+k=")</f>
        <v>#REF!</v>
      </c>
      <c r="IA86" s="34" t="e">
        <f>AND(#REF!,"AAAAAG79/+o=")</f>
        <v>#REF!</v>
      </c>
      <c r="IB86" s="34" t="e">
        <f>AND(#REF!,"AAAAAG79/+s=")</f>
        <v>#REF!</v>
      </c>
      <c r="IC86" s="34" t="e">
        <f>AND(#REF!,"AAAAAG79/+w=")</f>
        <v>#REF!</v>
      </c>
      <c r="ID86" s="34" t="e">
        <f>AND(#REF!,"AAAAAG79/+0=")</f>
        <v>#REF!</v>
      </c>
      <c r="IE86" s="34" t="e">
        <f>AND(#REF!,"AAAAAG79/+4=")</f>
        <v>#REF!</v>
      </c>
      <c r="IF86" s="34" t="e">
        <f>AND(#REF!,"AAAAAG79/+8=")</f>
        <v>#REF!</v>
      </c>
      <c r="IG86" s="34" t="e">
        <f>AND(#REF!,"AAAAAG79//A=")</f>
        <v>#REF!</v>
      </c>
      <c r="IH86" s="34" t="e">
        <f>AND(#REF!,"AAAAAG79//E=")</f>
        <v>#REF!</v>
      </c>
      <c r="II86" s="34" t="e">
        <f>AND(#REF!,"AAAAAG79//I=")</f>
        <v>#REF!</v>
      </c>
      <c r="IJ86" s="34" t="e">
        <f>AND(#REF!,"AAAAAG79//M=")</f>
        <v>#REF!</v>
      </c>
      <c r="IK86" s="34" t="e">
        <f>AND(#REF!,"AAAAAG79//Q=")</f>
        <v>#REF!</v>
      </c>
      <c r="IL86" s="34" t="e">
        <f>AND(#REF!,"AAAAAG79//U=")</f>
        <v>#REF!</v>
      </c>
      <c r="IM86" s="34" t="e">
        <f>AND(#REF!,"AAAAAG79//Y=")</f>
        <v>#REF!</v>
      </c>
      <c r="IN86" s="34" t="e">
        <f>AND(#REF!,"AAAAAG79//c=")</f>
        <v>#REF!</v>
      </c>
      <c r="IO86" s="34" t="e">
        <f>IF(#REF!,"AAAAAG79//g=",0)</f>
        <v>#REF!</v>
      </c>
      <c r="IP86" s="34" t="e">
        <f>AND(#REF!,"AAAAAG79//k=")</f>
        <v>#REF!</v>
      </c>
      <c r="IQ86" s="34" t="e">
        <f>AND(#REF!,"AAAAAG79//o=")</f>
        <v>#REF!</v>
      </c>
      <c r="IR86" s="34" t="e">
        <f>AND(#REF!,"AAAAAG79//s=")</f>
        <v>#REF!</v>
      </c>
      <c r="IS86" s="34" t="e">
        <f>AND(#REF!,"AAAAAG79//w=")</f>
        <v>#REF!</v>
      </c>
      <c r="IT86" s="34" t="e">
        <f>AND(#REF!,"AAAAAG79//0=")</f>
        <v>#REF!</v>
      </c>
      <c r="IU86" s="34" t="e">
        <f>AND(#REF!,"AAAAAG79//4=")</f>
        <v>#REF!</v>
      </c>
      <c r="IV86" s="34" t="e">
        <f>AND(#REF!,"AAAAAG79//8=")</f>
        <v>#REF!</v>
      </c>
    </row>
    <row r="87" spans="1:256" ht="12.75" customHeight="1" x14ac:dyDescent="0.2">
      <c r="A87" s="34" t="e">
        <f>AND(#REF!,"AAAAAF7ftAA=")</f>
        <v>#REF!</v>
      </c>
      <c r="B87" s="34" t="e">
        <f>AND(#REF!,"AAAAAF7ftAE=")</f>
        <v>#REF!</v>
      </c>
      <c r="C87" s="34" t="e">
        <f>AND(#REF!,"AAAAAF7ftAI=")</f>
        <v>#REF!</v>
      </c>
      <c r="D87" s="34" t="e">
        <f>AND(#REF!,"AAAAAF7ftAM=")</f>
        <v>#REF!</v>
      </c>
      <c r="E87" s="34" t="e">
        <f>AND(#REF!,"AAAAAF7ftAQ=")</f>
        <v>#REF!</v>
      </c>
      <c r="F87" s="34" t="e">
        <f>AND(#REF!,"AAAAAF7ftAU=")</f>
        <v>#REF!</v>
      </c>
      <c r="G87" s="34" t="e">
        <f>AND(#REF!,"AAAAAF7ftAY=")</f>
        <v>#REF!</v>
      </c>
      <c r="H87" s="34" t="e">
        <f>AND(#REF!,"AAAAAF7ftAc=")</f>
        <v>#REF!</v>
      </c>
      <c r="I87" s="34" t="e">
        <f>AND(#REF!,"AAAAAF7ftAg=")</f>
        <v>#REF!</v>
      </c>
      <c r="J87" s="34" t="e">
        <f>IF(#REF!,"AAAAAF7ftAk=",0)</f>
        <v>#REF!</v>
      </c>
      <c r="K87" s="34" t="e">
        <f>AND(#REF!,"AAAAAF7ftAo=")</f>
        <v>#REF!</v>
      </c>
      <c r="L87" s="34" t="e">
        <f>AND(#REF!,"AAAAAF7ftAs=")</f>
        <v>#REF!</v>
      </c>
      <c r="M87" s="34" t="e">
        <f>AND(#REF!,"AAAAAF7ftAw=")</f>
        <v>#REF!</v>
      </c>
      <c r="N87" s="34" t="e">
        <f>AND(#REF!,"AAAAAF7ftA0=")</f>
        <v>#REF!</v>
      </c>
      <c r="O87" s="34" t="e">
        <f>AND(#REF!,"AAAAAF7ftA4=")</f>
        <v>#REF!</v>
      </c>
      <c r="P87" s="34" t="e">
        <f>AND(#REF!,"AAAAAF7ftA8=")</f>
        <v>#REF!</v>
      </c>
      <c r="Q87" s="34" t="e">
        <f>AND(#REF!,"AAAAAF7ftBA=")</f>
        <v>#REF!</v>
      </c>
      <c r="R87" s="34" t="e">
        <f>AND(#REF!,"AAAAAF7ftBE=")</f>
        <v>#REF!</v>
      </c>
      <c r="S87" s="34" t="e">
        <f>AND(#REF!,"AAAAAF7ftBI=")</f>
        <v>#REF!</v>
      </c>
      <c r="T87" s="34" t="e">
        <f>AND(#REF!,"AAAAAF7ftBM=")</f>
        <v>#REF!</v>
      </c>
      <c r="U87" s="34" t="e">
        <f>AND(#REF!,"AAAAAF7ftBQ=")</f>
        <v>#REF!</v>
      </c>
      <c r="V87" s="34" t="e">
        <f>AND(#REF!,"AAAAAF7ftBU=")</f>
        <v>#REF!</v>
      </c>
      <c r="W87" s="34" t="e">
        <f>AND(#REF!,"AAAAAF7ftBY=")</f>
        <v>#REF!</v>
      </c>
      <c r="X87" s="34" t="e">
        <f>AND(#REF!,"AAAAAF7ftBc=")</f>
        <v>#REF!</v>
      </c>
      <c r="Y87" s="34" t="e">
        <f>AND(#REF!,"AAAAAF7ftBg=")</f>
        <v>#REF!</v>
      </c>
      <c r="Z87" s="34" t="e">
        <f>AND(#REF!,"AAAAAF7ftBk=")</f>
        <v>#REF!</v>
      </c>
      <c r="AA87" s="34" t="e">
        <f>IF(#REF!,"AAAAAF7ftBo=",0)</f>
        <v>#REF!</v>
      </c>
      <c r="AB87" s="34" t="e">
        <f>AND(#REF!,"AAAAAF7ftBs=")</f>
        <v>#REF!</v>
      </c>
      <c r="AC87" s="34" t="e">
        <f>AND(#REF!,"AAAAAF7ftBw=")</f>
        <v>#REF!</v>
      </c>
      <c r="AD87" s="34" t="e">
        <f>AND(#REF!,"AAAAAF7ftB0=")</f>
        <v>#REF!</v>
      </c>
      <c r="AE87" s="34" t="e">
        <f>AND(#REF!,"AAAAAF7ftB4=")</f>
        <v>#REF!</v>
      </c>
      <c r="AF87" s="34" t="e">
        <f>AND(#REF!,"AAAAAF7ftB8=")</f>
        <v>#REF!</v>
      </c>
      <c r="AG87" s="34" t="e">
        <f>AND(#REF!,"AAAAAF7ftCA=")</f>
        <v>#REF!</v>
      </c>
      <c r="AH87" s="34" t="e">
        <f>AND(#REF!,"AAAAAF7ftCE=")</f>
        <v>#REF!</v>
      </c>
      <c r="AI87" s="34" t="e">
        <f>AND(#REF!,"AAAAAF7ftCI=")</f>
        <v>#REF!</v>
      </c>
      <c r="AJ87" s="34" t="e">
        <f>AND(#REF!,"AAAAAF7ftCM=")</f>
        <v>#REF!</v>
      </c>
      <c r="AK87" s="34" t="e">
        <f>AND(#REF!,"AAAAAF7ftCQ=")</f>
        <v>#REF!</v>
      </c>
      <c r="AL87" s="34" t="e">
        <f>AND(#REF!,"AAAAAF7ftCU=")</f>
        <v>#REF!</v>
      </c>
      <c r="AM87" s="34" t="e">
        <f>AND(#REF!,"AAAAAF7ftCY=")</f>
        <v>#REF!</v>
      </c>
      <c r="AN87" s="34" t="e">
        <f>AND(#REF!,"AAAAAF7ftCc=")</f>
        <v>#REF!</v>
      </c>
      <c r="AO87" s="34" t="e">
        <f>AND(#REF!,"AAAAAF7ftCg=")</f>
        <v>#REF!</v>
      </c>
      <c r="AP87" s="34" t="e">
        <f>AND(#REF!,"AAAAAF7ftCk=")</f>
        <v>#REF!</v>
      </c>
      <c r="AQ87" s="34" t="e">
        <f>AND(#REF!,"AAAAAF7ftCo=")</f>
        <v>#REF!</v>
      </c>
      <c r="AR87" s="34" t="e">
        <f>IF(#REF!,"AAAAAF7ftCs=",0)</f>
        <v>#REF!</v>
      </c>
      <c r="AS87" s="34" t="e">
        <f>AND(#REF!,"AAAAAF7ftCw=")</f>
        <v>#REF!</v>
      </c>
      <c r="AT87" s="34" t="e">
        <f>AND(#REF!,"AAAAAF7ftC0=")</f>
        <v>#REF!</v>
      </c>
      <c r="AU87" s="34" t="e">
        <f>AND(#REF!,"AAAAAF7ftC4=")</f>
        <v>#REF!</v>
      </c>
      <c r="AV87" s="34" t="e">
        <f>AND(#REF!,"AAAAAF7ftC8=")</f>
        <v>#REF!</v>
      </c>
      <c r="AW87" s="34" t="e">
        <f>AND(#REF!,"AAAAAF7ftDA=")</f>
        <v>#REF!</v>
      </c>
      <c r="AX87" s="34" t="e">
        <f>AND(#REF!,"AAAAAF7ftDE=")</f>
        <v>#REF!</v>
      </c>
      <c r="AY87" s="34" t="e">
        <f>AND(#REF!,"AAAAAF7ftDI=")</f>
        <v>#REF!</v>
      </c>
      <c r="AZ87" s="34" t="e">
        <f>AND(#REF!,"AAAAAF7ftDM=")</f>
        <v>#REF!</v>
      </c>
      <c r="BA87" s="34" t="e">
        <f>AND(#REF!,"AAAAAF7ftDQ=")</f>
        <v>#REF!</v>
      </c>
      <c r="BB87" s="34" t="e">
        <f>AND(#REF!,"AAAAAF7ftDU=")</f>
        <v>#REF!</v>
      </c>
      <c r="BC87" s="34" t="e">
        <f>AND(#REF!,"AAAAAF7ftDY=")</f>
        <v>#REF!</v>
      </c>
      <c r="BD87" s="34" t="e">
        <f>AND(#REF!,"AAAAAF7ftDc=")</f>
        <v>#REF!</v>
      </c>
      <c r="BE87" s="34" t="e">
        <f>AND(#REF!,"AAAAAF7ftDg=")</f>
        <v>#REF!</v>
      </c>
      <c r="BF87" s="34" t="e">
        <f>AND(#REF!,"AAAAAF7ftDk=")</f>
        <v>#REF!</v>
      </c>
      <c r="BG87" s="34" t="e">
        <f>AND(#REF!,"AAAAAF7ftDo=")</f>
        <v>#REF!</v>
      </c>
      <c r="BH87" s="34" t="e">
        <f>AND(#REF!,"AAAAAF7ftDs=")</f>
        <v>#REF!</v>
      </c>
      <c r="BI87" s="34" t="e">
        <f>IF(#REF!,"AAAAAF7ftDw=",0)</f>
        <v>#REF!</v>
      </c>
      <c r="BJ87" s="34" t="e">
        <f>AND(#REF!,"AAAAAF7ftD0=")</f>
        <v>#REF!</v>
      </c>
      <c r="BK87" s="34" t="e">
        <f>AND(#REF!,"AAAAAF7ftD4=")</f>
        <v>#REF!</v>
      </c>
      <c r="BL87" s="34" t="e">
        <f>AND(#REF!,"AAAAAF7ftD8=")</f>
        <v>#REF!</v>
      </c>
      <c r="BM87" s="34" t="e">
        <f>AND(#REF!,"AAAAAF7ftEA=")</f>
        <v>#REF!</v>
      </c>
      <c r="BN87" s="34" t="e">
        <f>AND(#REF!,"AAAAAF7ftEE=")</f>
        <v>#REF!</v>
      </c>
      <c r="BO87" s="34" t="e">
        <f>AND(#REF!,"AAAAAF7ftEI=")</f>
        <v>#REF!</v>
      </c>
      <c r="BP87" s="34" t="e">
        <f>AND(#REF!,"AAAAAF7ftEM=")</f>
        <v>#REF!</v>
      </c>
      <c r="BQ87" s="34" t="e">
        <f>AND(#REF!,"AAAAAF7ftEQ=")</f>
        <v>#REF!</v>
      </c>
      <c r="BR87" s="34" t="e">
        <f>AND(#REF!,"AAAAAF7ftEU=")</f>
        <v>#REF!</v>
      </c>
      <c r="BS87" s="34" t="e">
        <f>AND(#REF!,"AAAAAF7ftEY=")</f>
        <v>#REF!</v>
      </c>
      <c r="BT87" s="34" t="e">
        <f>AND(#REF!,"AAAAAF7ftEc=")</f>
        <v>#REF!</v>
      </c>
      <c r="BU87" s="34" t="e">
        <f>AND(#REF!,"AAAAAF7ftEg=")</f>
        <v>#REF!</v>
      </c>
      <c r="BV87" s="34" t="e">
        <f>AND(#REF!,"AAAAAF7ftEk=")</f>
        <v>#REF!</v>
      </c>
      <c r="BW87" s="34" t="e">
        <f>AND(#REF!,"AAAAAF7ftEo=")</f>
        <v>#REF!</v>
      </c>
      <c r="BX87" s="34" t="e">
        <f>AND(#REF!,"AAAAAF7ftEs=")</f>
        <v>#REF!</v>
      </c>
      <c r="BY87" s="34" t="e">
        <f>AND(#REF!,"AAAAAF7ftEw=")</f>
        <v>#REF!</v>
      </c>
      <c r="BZ87" s="34" t="e">
        <f>IF(#REF!,"AAAAAF7ftE0=",0)</f>
        <v>#REF!</v>
      </c>
      <c r="CA87" s="34" t="e">
        <f>AND(#REF!,"AAAAAF7ftE4=")</f>
        <v>#REF!</v>
      </c>
      <c r="CB87" s="34" t="e">
        <f>AND(#REF!,"AAAAAF7ftE8=")</f>
        <v>#REF!</v>
      </c>
      <c r="CC87" s="34" t="e">
        <f>AND(#REF!,"AAAAAF7ftFA=")</f>
        <v>#REF!</v>
      </c>
      <c r="CD87" s="34" t="e">
        <f>AND(#REF!,"AAAAAF7ftFE=")</f>
        <v>#REF!</v>
      </c>
      <c r="CE87" s="34" t="e">
        <f>AND(#REF!,"AAAAAF7ftFI=")</f>
        <v>#REF!</v>
      </c>
      <c r="CF87" s="34" t="e">
        <f>AND(#REF!,"AAAAAF7ftFM=")</f>
        <v>#REF!</v>
      </c>
      <c r="CG87" s="34" t="e">
        <f>AND(#REF!,"AAAAAF7ftFQ=")</f>
        <v>#REF!</v>
      </c>
      <c r="CH87" s="34" t="e">
        <f>AND(#REF!,"AAAAAF7ftFU=")</f>
        <v>#REF!</v>
      </c>
      <c r="CI87" s="34" t="e">
        <f>AND(#REF!,"AAAAAF7ftFY=")</f>
        <v>#REF!</v>
      </c>
      <c r="CJ87" s="34" t="e">
        <f>AND(#REF!,"AAAAAF7ftFc=")</f>
        <v>#REF!</v>
      </c>
      <c r="CK87" s="34" t="e">
        <f>AND(#REF!,"AAAAAF7ftFg=")</f>
        <v>#REF!</v>
      </c>
      <c r="CL87" s="34" t="e">
        <f>AND(#REF!,"AAAAAF7ftFk=")</f>
        <v>#REF!</v>
      </c>
      <c r="CM87" s="34" t="e">
        <f>AND(#REF!,"AAAAAF7ftFo=")</f>
        <v>#REF!</v>
      </c>
      <c r="CN87" s="34" t="e">
        <f>AND(#REF!,"AAAAAF7ftFs=")</f>
        <v>#REF!</v>
      </c>
      <c r="CO87" s="34" t="e">
        <f>AND(#REF!,"AAAAAF7ftFw=")</f>
        <v>#REF!</v>
      </c>
      <c r="CP87" s="34" t="e">
        <f>AND(#REF!,"AAAAAF7ftF0=")</f>
        <v>#REF!</v>
      </c>
      <c r="CQ87" s="34" t="e">
        <f>IF(#REF!,"AAAAAF7ftF4=",0)</f>
        <v>#REF!</v>
      </c>
      <c r="CR87" s="34" t="e">
        <f>AND(#REF!,"AAAAAF7ftF8=")</f>
        <v>#REF!</v>
      </c>
      <c r="CS87" s="34" t="e">
        <f>AND(#REF!,"AAAAAF7ftGA=")</f>
        <v>#REF!</v>
      </c>
      <c r="CT87" s="34" t="e">
        <f>AND(#REF!,"AAAAAF7ftGE=")</f>
        <v>#REF!</v>
      </c>
      <c r="CU87" s="34" t="e">
        <f>AND(#REF!,"AAAAAF7ftGI=")</f>
        <v>#REF!</v>
      </c>
      <c r="CV87" s="34" t="e">
        <f>AND(#REF!,"AAAAAF7ftGM=")</f>
        <v>#REF!</v>
      </c>
      <c r="CW87" s="34" t="e">
        <f>AND(#REF!,"AAAAAF7ftGQ=")</f>
        <v>#REF!</v>
      </c>
      <c r="CX87" s="34" t="e">
        <f>AND(#REF!,"AAAAAF7ftGU=")</f>
        <v>#REF!</v>
      </c>
      <c r="CY87" s="34" t="e">
        <f>AND(#REF!,"AAAAAF7ftGY=")</f>
        <v>#REF!</v>
      </c>
      <c r="CZ87" s="34" t="e">
        <f>AND(#REF!,"AAAAAF7ftGc=")</f>
        <v>#REF!</v>
      </c>
      <c r="DA87" s="34" t="e">
        <f>AND(#REF!,"AAAAAF7ftGg=")</f>
        <v>#REF!</v>
      </c>
      <c r="DB87" s="34" t="e">
        <f>AND(#REF!,"AAAAAF7ftGk=")</f>
        <v>#REF!</v>
      </c>
      <c r="DC87" s="34" t="e">
        <f>AND(#REF!,"AAAAAF7ftGo=")</f>
        <v>#REF!</v>
      </c>
      <c r="DD87" s="34" t="e">
        <f>AND(#REF!,"AAAAAF7ftGs=")</f>
        <v>#REF!</v>
      </c>
      <c r="DE87" s="34" t="e">
        <f>AND(#REF!,"AAAAAF7ftGw=")</f>
        <v>#REF!</v>
      </c>
      <c r="DF87" s="34" t="e">
        <f>AND(#REF!,"AAAAAF7ftG0=")</f>
        <v>#REF!</v>
      </c>
      <c r="DG87" s="34" t="e">
        <f>AND(#REF!,"AAAAAF7ftG4=")</f>
        <v>#REF!</v>
      </c>
      <c r="DH87" s="34" t="e">
        <f>IF(#REF!,"AAAAAF7ftG8=",0)</f>
        <v>#REF!</v>
      </c>
      <c r="DI87" s="34" t="e">
        <f>AND(#REF!,"AAAAAF7ftHA=")</f>
        <v>#REF!</v>
      </c>
      <c r="DJ87" s="34" t="e">
        <f>AND(#REF!,"AAAAAF7ftHE=")</f>
        <v>#REF!</v>
      </c>
      <c r="DK87" s="34" t="e">
        <f>AND(#REF!,"AAAAAF7ftHI=")</f>
        <v>#REF!</v>
      </c>
      <c r="DL87" s="34" t="e">
        <f>AND(#REF!,"AAAAAF7ftHM=")</f>
        <v>#REF!</v>
      </c>
      <c r="DM87" s="34" t="e">
        <f>AND(#REF!,"AAAAAF7ftHQ=")</f>
        <v>#REF!</v>
      </c>
      <c r="DN87" s="34" t="e">
        <f>AND(#REF!,"AAAAAF7ftHU=")</f>
        <v>#REF!</v>
      </c>
      <c r="DO87" s="34" t="e">
        <f>AND(#REF!,"AAAAAF7ftHY=")</f>
        <v>#REF!</v>
      </c>
      <c r="DP87" s="34" t="e">
        <f>AND(#REF!,"AAAAAF7ftHc=")</f>
        <v>#REF!</v>
      </c>
      <c r="DQ87" s="34" t="e">
        <f>AND(#REF!,"AAAAAF7ftHg=")</f>
        <v>#REF!</v>
      </c>
      <c r="DR87" s="34" t="e">
        <f>AND(#REF!,"AAAAAF7ftHk=")</f>
        <v>#REF!</v>
      </c>
      <c r="DS87" s="34" t="e">
        <f>AND(#REF!,"AAAAAF7ftHo=")</f>
        <v>#REF!</v>
      </c>
      <c r="DT87" s="34" t="e">
        <f>AND(#REF!,"AAAAAF7ftHs=")</f>
        <v>#REF!</v>
      </c>
      <c r="DU87" s="34" t="e">
        <f>AND(#REF!,"AAAAAF7ftHw=")</f>
        <v>#REF!</v>
      </c>
      <c r="DV87" s="34" t="e">
        <f>AND(#REF!,"AAAAAF7ftH0=")</f>
        <v>#REF!</v>
      </c>
      <c r="DW87" s="34" t="e">
        <f>AND(#REF!,"AAAAAF7ftH4=")</f>
        <v>#REF!</v>
      </c>
      <c r="DX87" s="34" t="e">
        <f>AND(#REF!,"AAAAAF7ftH8=")</f>
        <v>#REF!</v>
      </c>
      <c r="DY87" s="34" t="e">
        <f>IF(#REF!,"AAAAAF7ftIA=",0)</f>
        <v>#REF!</v>
      </c>
      <c r="DZ87" s="34" t="e">
        <f>AND(#REF!,"AAAAAF7ftIE=")</f>
        <v>#REF!</v>
      </c>
      <c r="EA87" s="34" t="e">
        <f>AND(#REF!,"AAAAAF7ftII=")</f>
        <v>#REF!</v>
      </c>
      <c r="EB87" s="34" t="e">
        <f>AND(#REF!,"AAAAAF7ftIM=")</f>
        <v>#REF!</v>
      </c>
      <c r="EC87" s="34" t="e">
        <f>AND(#REF!,"AAAAAF7ftIQ=")</f>
        <v>#REF!</v>
      </c>
      <c r="ED87" s="34" t="e">
        <f>AND(#REF!,"AAAAAF7ftIU=")</f>
        <v>#REF!</v>
      </c>
      <c r="EE87" s="34" t="e">
        <f>AND(#REF!,"AAAAAF7ftIY=")</f>
        <v>#REF!</v>
      </c>
      <c r="EF87" s="34" t="e">
        <f>AND(#REF!,"AAAAAF7ftIc=")</f>
        <v>#REF!</v>
      </c>
      <c r="EG87" s="34" t="e">
        <f>AND(#REF!,"AAAAAF7ftIg=")</f>
        <v>#REF!</v>
      </c>
      <c r="EH87" s="34" t="e">
        <f>AND(#REF!,"AAAAAF7ftIk=")</f>
        <v>#REF!</v>
      </c>
      <c r="EI87" s="34" t="e">
        <f>AND(#REF!,"AAAAAF7ftIo=")</f>
        <v>#REF!</v>
      </c>
      <c r="EJ87" s="34" t="e">
        <f>AND(#REF!,"AAAAAF7ftIs=")</f>
        <v>#REF!</v>
      </c>
      <c r="EK87" s="34" t="e">
        <f>AND(#REF!,"AAAAAF7ftIw=")</f>
        <v>#REF!</v>
      </c>
      <c r="EL87" s="34" t="e">
        <f>AND(#REF!,"AAAAAF7ftI0=")</f>
        <v>#REF!</v>
      </c>
      <c r="EM87" s="34" t="e">
        <f>AND(#REF!,"AAAAAF7ftI4=")</f>
        <v>#REF!</v>
      </c>
      <c r="EN87" s="34" t="e">
        <f>AND(#REF!,"AAAAAF7ftI8=")</f>
        <v>#REF!</v>
      </c>
      <c r="EO87" s="34" t="e">
        <f>AND(#REF!,"AAAAAF7ftJA=")</f>
        <v>#REF!</v>
      </c>
      <c r="EP87" s="34" t="e">
        <f>IF(#REF!,"AAAAAF7ftJE=",0)</f>
        <v>#REF!</v>
      </c>
      <c r="EQ87" s="34" t="e">
        <f>AND(#REF!,"AAAAAF7ftJI=")</f>
        <v>#REF!</v>
      </c>
      <c r="ER87" s="34" t="e">
        <f>AND(#REF!,"AAAAAF7ftJM=")</f>
        <v>#REF!</v>
      </c>
      <c r="ES87" s="34" t="e">
        <f>AND(#REF!,"AAAAAF7ftJQ=")</f>
        <v>#REF!</v>
      </c>
      <c r="ET87" s="34" t="e">
        <f>AND(#REF!,"AAAAAF7ftJU=")</f>
        <v>#REF!</v>
      </c>
      <c r="EU87" s="34" t="e">
        <f>AND(#REF!,"AAAAAF7ftJY=")</f>
        <v>#REF!</v>
      </c>
      <c r="EV87" s="34" t="e">
        <f>AND(#REF!,"AAAAAF7ftJc=")</f>
        <v>#REF!</v>
      </c>
      <c r="EW87" s="34" t="e">
        <f>AND(#REF!,"AAAAAF7ftJg=")</f>
        <v>#REF!</v>
      </c>
      <c r="EX87" s="34" t="e">
        <f>AND(#REF!,"AAAAAF7ftJk=")</f>
        <v>#REF!</v>
      </c>
      <c r="EY87" s="34" t="e">
        <f>AND(#REF!,"AAAAAF7ftJo=")</f>
        <v>#REF!</v>
      </c>
      <c r="EZ87" s="34" t="e">
        <f>AND(#REF!,"AAAAAF7ftJs=")</f>
        <v>#REF!</v>
      </c>
      <c r="FA87" s="34" t="e">
        <f>AND(#REF!,"AAAAAF7ftJw=")</f>
        <v>#REF!</v>
      </c>
      <c r="FB87" s="34" t="e">
        <f>AND(#REF!,"AAAAAF7ftJ0=")</f>
        <v>#REF!</v>
      </c>
      <c r="FC87" s="34" t="e">
        <f>AND(#REF!,"AAAAAF7ftJ4=")</f>
        <v>#REF!</v>
      </c>
      <c r="FD87" s="34" t="e">
        <f>AND(#REF!,"AAAAAF7ftJ8=")</f>
        <v>#REF!</v>
      </c>
      <c r="FE87" s="34" t="e">
        <f>AND(#REF!,"AAAAAF7ftKA=")</f>
        <v>#REF!</v>
      </c>
      <c r="FF87" s="34" t="e">
        <f>AND(#REF!,"AAAAAF7ftKE=")</f>
        <v>#REF!</v>
      </c>
      <c r="FG87" s="34" t="e">
        <f>IF(#REF!,"AAAAAF7ftKI=",0)</f>
        <v>#REF!</v>
      </c>
      <c r="FH87" s="34" t="e">
        <f>AND(#REF!,"AAAAAF7ftKM=")</f>
        <v>#REF!</v>
      </c>
      <c r="FI87" s="34" t="e">
        <f>AND(#REF!,"AAAAAF7ftKQ=")</f>
        <v>#REF!</v>
      </c>
      <c r="FJ87" s="34" t="e">
        <f>AND(#REF!,"AAAAAF7ftKU=")</f>
        <v>#REF!</v>
      </c>
      <c r="FK87" s="34" t="e">
        <f>AND(#REF!,"AAAAAF7ftKY=")</f>
        <v>#REF!</v>
      </c>
      <c r="FL87" s="34" t="e">
        <f>AND(#REF!,"AAAAAF7ftKc=")</f>
        <v>#REF!</v>
      </c>
      <c r="FM87" s="34" t="e">
        <f>AND(#REF!,"AAAAAF7ftKg=")</f>
        <v>#REF!</v>
      </c>
      <c r="FN87" s="34" t="e">
        <f>AND(#REF!,"AAAAAF7ftKk=")</f>
        <v>#REF!</v>
      </c>
      <c r="FO87" s="34" t="e">
        <f>AND(#REF!,"AAAAAF7ftKo=")</f>
        <v>#REF!</v>
      </c>
      <c r="FP87" s="34" t="e">
        <f>AND(#REF!,"AAAAAF7ftKs=")</f>
        <v>#REF!</v>
      </c>
      <c r="FQ87" s="34" t="e">
        <f>AND(#REF!,"AAAAAF7ftKw=")</f>
        <v>#REF!</v>
      </c>
      <c r="FR87" s="34" t="e">
        <f>AND(#REF!,"AAAAAF7ftK0=")</f>
        <v>#REF!</v>
      </c>
      <c r="FS87" s="34" t="e">
        <f>AND(#REF!,"AAAAAF7ftK4=")</f>
        <v>#REF!</v>
      </c>
      <c r="FT87" s="34" t="e">
        <f>AND(#REF!,"AAAAAF7ftK8=")</f>
        <v>#REF!</v>
      </c>
      <c r="FU87" s="34" t="e">
        <f>AND(#REF!,"AAAAAF7ftLA=")</f>
        <v>#REF!</v>
      </c>
      <c r="FV87" s="34" t="e">
        <f>AND(#REF!,"AAAAAF7ftLE=")</f>
        <v>#REF!</v>
      </c>
      <c r="FW87" s="34" t="e">
        <f>AND(#REF!,"AAAAAF7ftLI=")</f>
        <v>#REF!</v>
      </c>
      <c r="FX87" s="34" t="e">
        <f>IF(#REF!,"AAAAAF7ftLM=",0)</f>
        <v>#REF!</v>
      </c>
      <c r="FY87" s="34" t="e">
        <f>AND(#REF!,"AAAAAF7ftLQ=")</f>
        <v>#REF!</v>
      </c>
      <c r="FZ87" s="34" t="e">
        <f>AND(#REF!,"AAAAAF7ftLU=")</f>
        <v>#REF!</v>
      </c>
      <c r="GA87" s="34" t="e">
        <f>AND(#REF!,"AAAAAF7ftLY=")</f>
        <v>#REF!</v>
      </c>
      <c r="GB87" s="34" t="e">
        <f>AND(#REF!,"AAAAAF7ftLc=")</f>
        <v>#REF!</v>
      </c>
      <c r="GC87" s="34" t="e">
        <f>AND(#REF!,"AAAAAF7ftLg=")</f>
        <v>#REF!</v>
      </c>
      <c r="GD87" s="34" t="e">
        <f>AND(#REF!,"AAAAAF7ftLk=")</f>
        <v>#REF!</v>
      </c>
      <c r="GE87" s="34" t="e">
        <f>AND(#REF!,"AAAAAF7ftLo=")</f>
        <v>#REF!</v>
      </c>
      <c r="GF87" s="34" t="e">
        <f>AND(#REF!,"AAAAAF7ftLs=")</f>
        <v>#REF!</v>
      </c>
      <c r="GG87" s="34" t="e">
        <f>AND(#REF!,"AAAAAF7ftLw=")</f>
        <v>#REF!</v>
      </c>
      <c r="GH87" s="34" t="e">
        <f>AND(#REF!,"AAAAAF7ftL0=")</f>
        <v>#REF!</v>
      </c>
      <c r="GI87" s="34" t="e">
        <f>AND(#REF!,"AAAAAF7ftL4=")</f>
        <v>#REF!</v>
      </c>
      <c r="GJ87" s="34" t="e">
        <f>AND(#REF!,"AAAAAF7ftL8=")</f>
        <v>#REF!</v>
      </c>
      <c r="GK87" s="34" t="e">
        <f>AND(#REF!,"AAAAAF7ftMA=")</f>
        <v>#REF!</v>
      </c>
      <c r="GL87" s="34" t="e">
        <f>AND(#REF!,"AAAAAF7ftME=")</f>
        <v>#REF!</v>
      </c>
      <c r="GM87" s="34" t="e">
        <f>AND(#REF!,"AAAAAF7ftMI=")</f>
        <v>#REF!</v>
      </c>
      <c r="GN87" s="34" t="e">
        <f>AND(#REF!,"AAAAAF7ftMM=")</f>
        <v>#REF!</v>
      </c>
      <c r="GO87" s="34" t="e">
        <f>IF(#REF!,"AAAAAF7ftMQ=",0)</f>
        <v>#REF!</v>
      </c>
      <c r="GP87" s="34" t="e">
        <f>AND(#REF!,"AAAAAF7ftMU=")</f>
        <v>#REF!</v>
      </c>
      <c r="GQ87" s="34" t="e">
        <f>AND(#REF!,"AAAAAF7ftMY=")</f>
        <v>#REF!</v>
      </c>
      <c r="GR87" s="34" t="e">
        <f>AND(#REF!,"AAAAAF7ftMc=")</f>
        <v>#REF!</v>
      </c>
      <c r="GS87" s="34" t="e">
        <f>AND(#REF!,"AAAAAF7ftMg=")</f>
        <v>#REF!</v>
      </c>
      <c r="GT87" s="34" t="e">
        <f>AND(#REF!,"AAAAAF7ftMk=")</f>
        <v>#REF!</v>
      </c>
      <c r="GU87" s="34" t="e">
        <f>AND(#REF!,"AAAAAF7ftMo=")</f>
        <v>#REF!</v>
      </c>
      <c r="GV87" s="34" t="e">
        <f>AND(#REF!,"AAAAAF7ftMs=")</f>
        <v>#REF!</v>
      </c>
      <c r="GW87" s="34" t="e">
        <f>AND(#REF!,"AAAAAF7ftMw=")</f>
        <v>#REF!</v>
      </c>
      <c r="GX87" s="34" t="e">
        <f>AND(#REF!,"AAAAAF7ftM0=")</f>
        <v>#REF!</v>
      </c>
      <c r="GY87" s="34" t="e">
        <f>AND(#REF!,"AAAAAF7ftM4=")</f>
        <v>#REF!</v>
      </c>
      <c r="GZ87" s="34" t="e">
        <f>AND(#REF!,"AAAAAF7ftM8=")</f>
        <v>#REF!</v>
      </c>
      <c r="HA87" s="34" t="e">
        <f>AND(#REF!,"AAAAAF7ftNA=")</f>
        <v>#REF!</v>
      </c>
      <c r="HB87" s="34" t="e">
        <f>AND(#REF!,"AAAAAF7ftNE=")</f>
        <v>#REF!</v>
      </c>
      <c r="HC87" s="34" t="e">
        <f>AND(#REF!,"AAAAAF7ftNI=")</f>
        <v>#REF!</v>
      </c>
      <c r="HD87" s="34" t="e">
        <f>AND(#REF!,"AAAAAF7ftNM=")</f>
        <v>#REF!</v>
      </c>
      <c r="HE87" s="34" t="e">
        <f>AND(#REF!,"AAAAAF7ftNQ=")</f>
        <v>#REF!</v>
      </c>
      <c r="HF87" s="34" t="e">
        <f>IF(#REF!,"AAAAAF7ftNU=",0)</f>
        <v>#REF!</v>
      </c>
      <c r="HG87" s="34" t="e">
        <f>AND(#REF!,"AAAAAF7ftNY=")</f>
        <v>#REF!</v>
      </c>
      <c r="HH87" s="34" t="e">
        <f>AND(#REF!,"AAAAAF7ftNc=")</f>
        <v>#REF!</v>
      </c>
      <c r="HI87" s="34" t="e">
        <f>AND(#REF!,"AAAAAF7ftNg=")</f>
        <v>#REF!</v>
      </c>
      <c r="HJ87" s="34" t="e">
        <f>AND(#REF!,"AAAAAF7ftNk=")</f>
        <v>#REF!</v>
      </c>
      <c r="HK87" s="34" t="e">
        <f>AND(#REF!,"AAAAAF7ftNo=")</f>
        <v>#REF!</v>
      </c>
      <c r="HL87" s="34" t="e">
        <f>AND(#REF!,"AAAAAF7ftNs=")</f>
        <v>#REF!</v>
      </c>
      <c r="HM87" s="34" t="e">
        <f>AND(#REF!,"AAAAAF7ftNw=")</f>
        <v>#REF!</v>
      </c>
      <c r="HN87" s="34" t="e">
        <f>AND(#REF!,"AAAAAF7ftN0=")</f>
        <v>#REF!</v>
      </c>
      <c r="HO87" s="34" t="e">
        <f>AND(#REF!,"AAAAAF7ftN4=")</f>
        <v>#REF!</v>
      </c>
      <c r="HP87" s="34" t="e">
        <f>AND(#REF!,"AAAAAF7ftN8=")</f>
        <v>#REF!</v>
      </c>
      <c r="HQ87" s="34" t="e">
        <f>AND(#REF!,"AAAAAF7ftOA=")</f>
        <v>#REF!</v>
      </c>
      <c r="HR87" s="34" t="e">
        <f>AND(#REF!,"AAAAAF7ftOE=")</f>
        <v>#REF!</v>
      </c>
      <c r="HS87" s="34" t="e">
        <f>AND(#REF!,"AAAAAF7ftOI=")</f>
        <v>#REF!</v>
      </c>
      <c r="HT87" s="34" t="e">
        <f>AND(#REF!,"AAAAAF7ftOM=")</f>
        <v>#REF!</v>
      </c>
      <c r="HU87" s="34" t="e">
        <f>AND(#REF!,"AAAAAF7ftOQ=")</f>
        <v>#REF!</v>
      </c>
      <c r="HV87" s="34" t="e">
        <f>AND(#REF!,"AAAAAF7ftOU=")</f>
        <v>#REF!</v>
      </c>
      <c r="HW87" s="34" t="e">
        <f>IF(#REF!,"AAAAAF7ftOY=",0)</f>
        <v>#REF!</v>
      </c>
      <c r="HX87" s="34" t="e">
        <f>AND(#REF!,"AAAAAF7ftOc=")</f>
        <v>#REF!</v>
      </c>
      <c r="HY87" s="34" t="e">
        <f>AND(#REF!,"AAAAAF7ftOg=")</f>
        <v>#REF!</v>
      </c>
      <c r="HZ87" s="34" t="e">
        <f>AND(#REF!,"AAAAAF7ftOk=")</f>
        <v>#REF!</v>
      </c>
      <c r="IA87" s="34" t="e">
        <f>AND(#REF!,"AAAAAF7ftOo=")</f>
        <v>#REF!</v>
      </c>
      <c r="IB87" s="34" t="e">
        <f>AND(#REF!,"AAAAAF7ftOs=")</f>
        <v>#REF!</v>
      </c>
      <c r="IC87" s="34" t="e">
        <f>AND(#REF!,"AAAAAF7ftOw=")</f>
        <v>#REF!</v>
      </c>
      <c r="ID87" s="34" t="e">
        <f>AND(#REF!,"AAAAAF7ftO0=")</f>
        <v>#REF!</v>
      </c>
      <c r="IE87" s="34" t="e">
        <f>AND(#REF!,"AAAAAF7ftO4=")</f>
        <v>#REF!</v>
      </c>
      <c r="IF87" s="34" t="e">
        <f>AND(#REF!,"AAAAAF7ftO8=")</f>
        <v>#REF!</v>
      </c>
      <c r="IG87" s="34" t="e">
        <f>AND(#REF!,"AAAAAF7ftPA=")</f>
        <v>#REF!</v>
      </c>
      <c r="IH87" s="34" t="e">
        <f>AND(#REF!,"AAAAAF7ftPE=")</f>
        <v>#REF!</v>
      </c>
      <c r="II87" s="34" t="e">
        <f>AND(#REF!,"AAAAAF7ftPI=")</f>
        <v>#REF!</v>
      </c>
      <c r="IJ87" s="34" t="e">
        <f>AND(#REF!,"AAAAAF7ftPM=")</f>
        <v>#REF!</v>
      </c>
      <c r="IK87" s="34" t="e">
        <f>AND(#REF!,"AAAAAF7ftPQ=")</f>
        <v>#REF!</v>
      </c>
      <c r="IL87" s="34" t="e">
        <f>AND(#REF!,"AAAAAF7ftPU=")</f>
        <v>#REF!</v>
      </c>
      <c r="IM87" s="34" t="e">
        <f>AND(#REF!,"AAAAAF7ftPY=")</f>
        <v>#REF!</v>
      </c>
      <c r="IN87" s="34" t="e">
        <f>IF(#REF!,"AAAAAF7ftPc=",0)</f>
        <v>#REF!</v>
      </c>
      <c r="IO87" s="34" t="e">
        <f>AND(#REF!,"AAAAAF7ftPg=")</f>
        <v>#REF!</v>
      </c>
      <c r="IP87" s="34" t="e">
        <f>AND(#REF!,"AAAAAF7ftPk=")</f>
        <v>#REF!</v>
      </c>
      <c r="IQ87" s="34" t="e">
        <f>AND(#REF!,"AAAAAF7ftPo=")</f>
        <v>#REF!</v>
      </c>
      <c r="IR87" s="34" t="e">
        <f>AND(#REF!,"AAAAAF7ftPs=")</f>
        <v>#REF!</v>
      </c>
      <c r="IS87" s="34" t="e">
        <f>AND(#REF!,"AAAAAF7ftPw=")</f>
        <v>#REF!</v>
      </c>
      <c r="IT87" s="34" t="e">
        <f>AND(#REF!,"AAAAAF7ftP0=")</f>
        <v>#REF!</v>
      </c>
      <c r="IU87" s="34" t="e">
        <f>AND(#REF!,"AAAAAF7ftP4=")</f>
        <v>#REF!</v>
      </c>
      <c r="IV87" s="34" t="e">
        <f>AND(#REF!,"AAAAAF7ftP8=")</f>
        <v>#REF!</v>
      </c>
    </row>
    <row r="88" spans="1:256" ht="12.75" customHeight="1" x14ac:dyDescent="0.2">
      <c r="A88" s="34" t="e">
        <f>AND(#REF!,"AAAAAHzXzgA=")</f>
        <v>#REF!</v>
      </c>
      <c r="B88" s="34" t="e">
        <f>AND(#REF!,"AAAAAHzXzgE=")</f>
        <v>#REF!</v>
      </c>
      <c r="C88" s="34" t="e">
        <f>AND(#REF!,"AAAAAHzXzgI=")</f>
        <v>#REF!</v>
      </c>
      <c r="D88" s="34" t="e">
        <f>AND(#REF!,"AAAAAHzXzgM=")</f>
        <v>#REF!</v>
      </c>
      <c r="E88" s="34" t="e">
        <f>AND(#REF!,"AAAAAHzXzgQ=")</f>
        <v>#REF!</v>
      </c>
      <c r="F88" s="34" t="e">
        <f>AND(#REF!,"AAAAAHzXzgU=")</f>
        <v>#REF!</v>
      </c>
      <c r="G88" s="34" t="e">
        <f>AND(#REF!,"AAAAAHzXzgY=")</f>
        <v>#REF!</v>
      </c>
      <c r="H88" s="34" t="e">
        <f>AND(#REF!,"AAAAAHzXzgc=")</f>
        <v>#REF!</v>
      </c>
      <c r="I88" s="34" t="e">
        <f>IF(#REF!,"AAAAAHzXzgg=",0)</f>
        <v>#REF!</v>
      </c>
      <c r="J88" s="34" t="e">
        <f>AND(#REF!,"AAAAAHzXzgk=")</f>
        <v>#REF!</v>
      </c>
      <c r="K88" s="34" t="e">
        <f>AND(#REF!,"AAAAAHzXzgo=")</f>
        <v>#REF!</v>
      </c>
      <c r="L88" s="34" t="e">
        <f>AND(#REF!,"AAAAAHzXzgs=")</f>
        <v>#REF!</v>
      </c>
      <c r="M88" s="34" t="e">
        <f>AND(#REF!,"AAAAAHzXzgw=")</f>
        <v>#REF!</v>
      </c>
      <c r="N88" s="34" t="e">
        <f>AND(#REF!,"AAAAAHzXzg0=")</f>
        <v>#REF!</v>
      </c>
      <c r="O88" s="34" t="e">
        <f>AND(#REF!,"AAAAAHzXzg4=")</f>
        <v>#REF!</v>
      </c>
      <c r="P88" s="34" t="e">
        <f>AND(#REF!,"AAAAAHzXzg8=")</f>
        <v>#REF!</v>
      </c>
      <c r="Q88" s="34" t="e">
        <f>AND(#REF!,"AAAAAHzXzhA=")</f>
        <v>#REF!</v>
      </c>
      <c r="R88" s="34" t="e">
        <f>AND(#REF!,"AAAAAHzXzhE=")</f>
        <v>#REF!</v>
      </c>
      <c r="S88" s="34" t="e">
        <f>AND(#REF!,"AAAAAHzXzhI=")</f>
        <v>#REF!</v>
      </c>
      <c r="T88" s="34" t="e">
        <f>AND(#REF!,"AAAAAHzXzhM=")</f>
        <v>#REF!</v>
      </c>
      <c r="U88" s="34" t="e">
        <f>AND(#REF!,"AAAAAHzXzhQ=")</f>
        <v>#REF!</v>
      </c>
      <c r="V88" s="34" t="e">
        <f>AND(#REF!,"AAAAAHzXzhU=")</f>
        <v>#REF!</v>
      </c>
      <c r="W88" s="34" t="e">
        <f>AND(#REF!,"AAAAAHzXzhY=")</f>
        <v>#REF!</v>
      </c>
      <c r="X88" s="34" t="e">
        <f>AND(#REF!,"AAAAAHzXzhc=")</f>
        <v>#REF!</v>
      </c>
      <c r="Y88" s="34" t="e">
        <f>AND(#REF!,"AAAAAHzXzhg=")</f>
        <v>#REF!</v>
      </c>
      <c r="Z88" s="34" t="e">
        <f>IF(#REF!,"AAAAAHzXzhk=",0)</f>
        <v>#REF!</v>
      </c>
      <c r="AA88" s="34" t="e">
        <f>AND(#REF!,"AAAAAHzXzho=")</f>
        <v>#REF!</v>
      </c>
      <c r="AB88" s="34" t="e">
        <f>AND(#REF!,"AAAAAHzXzhs=")</f>
        <v>#REF!</v>
      </c>
      <c r="AC88" s="34" t="e">
        <f>AND(#REF!,"AAAAAHzXzhw=")</f>
        <v>#REF!</v>
      </c>
      <c r="AD88" s="34" t="e">
        <f>AND(#REF!,"AAAAAHzXzh0=")</f>
        <v>#REF!</v>
      </c>
      <c r="AE88" s="34" t="e">
        <f>AND(#REF!,"AAAAAHzXzh4=")</f>
        <v>#REF!</v>
      </c>
      <c r="AF88" s="34" t="e">
        <f>AND(#REF!,"AAAAAHzXzh8=")</f>
        <v>#REF!</v>
      </c>
      <c r="AG88" s="34" t="e">
        <f>AND(#REF!,"AAAAAHzXziA=")</f>
        <v>#REF!</v>
      </c>
      <c r="AH88" s="34" t="e">
        <f>AND(#REF!,"AAAAAHzXziE=")</f>
        <v>#REF!</v>
      </c>
      <c r="AI88" s="34" t="e">
        <f>AND(#REF!,"AAAAAHzXziI=")</f>
        <v>#REF!</v>
      </c>
      <c r="AJ88" s="34" t="e">
        <f>AND(#REF!,"AAAAAHzXziM=")</f>
        <v>#REF!</v>
      </c>
      <c r="AK88" s="34" t="e">
        <f>AND(#REF!,"AAAAAHzXziQ=")</f>
        <v>#REF!</v>
      </c>
      <c r="AL88" s="34" t="e">
        <f>AND(#REF!,"AAAAAHzXziU=")</f>
        <v>#REF!</v>
      </c>
      <c r="AM88" s="34" t="e">
        <f>AND(#REF!,"AAAAAHzXziY=")</f>
        <v>#REF!</v>
      </c>
      <c r="AN88" s="34" t="e">
        <f>AND(#REF!,"AAAAAHzXzic=")</f>
        <v>#REF!</v>
      </c>
      <c r="AO88" s="34" t="e">
        <f>AND(#REF!,"AAAAAHzXzig=")</f>
        <v>#REF!</v>
      </c>
      <c r="AP88" s="34" t="e">
        <f>AND(#REF!,"AAAAAHzXzik=")</f>
        <v>#REF!</v>
      </c>
      <c r="AQ88" s="34" t="e">
        <f>IF(#REF!,"AAAAAHzXzio=",0)</f>
        <v>#REF!</v>
      </c>
      <c r="AR88" s="34" t="e">
        <f>AND(#REF!,"AAAAAHzXzis=")</f>
        <v>#REF!</v>
      </c>
      <c r="AS88" s="34" t="e">
        <f>AND(#REF!,"AAAAAHzXziw=")</f>
        <v>#REF!</v>
      </c>
      <c r="AT88" s="34" t="e">
        <f>AND(#REF!,"AAAAAHzXzi0=")</f>
        <v>#REF!</v>
      </c>
      <c r="AU88" s="34" t="e">
        <f>AND(#REF!,"AAAAAHzXzi4=")</f>
        <v>#REF!</v>
      </c>
      <c r="AV88" s="34" t="e">
        <f>AND(#REF!,"AAAAAHzXzi8=")</f>
        <v>#REF!</v>
      </c>
      <c r="AW88" s="34" t="e">
        <f>AND(#REF!,"AAAAAHzXzjA=")</f>
        <v>#REF!</v>
      </c>
      <c r="AX88" s="34" t="e">
        <f>AND(#REF!,"AAAAAHzXzjE=")</f>
        <v>#REF!</v>
      </c>
      <c r="AY88" s="34" t="e">
        <f>AND(#REF!,"AAAAAHzXzjI=")</f>
        <v>#REF!</v>
      </c>
      <c r="AZ88" s="34" t="e">
        <f>AND(#REF!,"AAAAAHzXzjM=")</f>
        <v>#REF!</v>
      </c>
      <c r="BA88" s="34" t="e">
        <f>AND(#REF!,"AAAAAHzXzjQ=")</f>
        <v>#REF!</v>
      </c>
      <c r="BB88" s="34" t="e">
        <f>AND(#REF!,"AAAAAHzXzjU=")</f>
        <v>#REF!</v>
      </c>
      <c r="BC88" s="34" t="e">
        <f>AND(#REF!,"AAAAAHzXzjY=")</f>
        <v>#REF!</v>
      </c>
      <c r="BD88" s="34" t="e">
        <f>AND(#REF!,"AAAAAHzXzjc=")</f>
        <v>#REF!</v>
      </c>
      <c r="BE88" s="34" t="e">
        <f>AND(#REF!,"AAAAAHzXzjg=")</f>
        <v>#REF!</v>
      </c>
      <c r="BF88" s="34" t="e">
        <f>AND(#REF!,"AAAAAHzXzjk=")</f>
        <v>#REF!</v>
      </c>
      <c r="BG88" s="34" t="e">
        <f>AND(#REF!,"AAAAAHzXzjo=")</f>
        <v>#REF!</v>
      </c>
      <c r="BH88" s="34" t="e">
        <f>IF(#REF!,"AAAAAHzXzjs=",0)</f>
        <v>#REF!</v>
      </c>
      <c r="BI88" s="34" t="e">
        <f>AND(#REF!,"AAAAAHzXzjw=")</f>
        <v>#REF!</v>
      </c>
      <c r="BJ88" s="34" t="e">
        <f>AND(#REF!,"AAAAAHzXzj0=")</f>
        <v>#REF!</v>
      </c>
      <c r="BK88" s="34" t="e">
        <f>AND(#REF!,"AAAAAHzXzj4=")</f>
        <v>#REF!</v>
      </c>
      <c r="BL88" s="34" t="e">
        <f>AND(#REF!,"AAAAAHzXzj8=")</f>
        <v>#REF!</v>
      </c>
      <c r="BM88" s="34" t="e">
        <f>AND(#REF!,"AAAAAHzXzkA=")</f>
        <v>#REF!</v>
      </c>
      <c r="BN88" s="34" t="e">
        <f>AND(#REF!,"AAAAAHzXzkE=")</f>
        <v>#REF!</v>
      </c>
      <c r="BO88" s="34" t="e">
        <f>AND(#REF!,"AAAAAHzXzkI=")</f>
        <v>#REF!</v>
      </c>
      <c r="BP88" s="34" t="e">
        <f>AND(#REF!,"AAAAAHzXzkM=")</f>
        <v>#REF!</v>
      </c>
      <c r="BQ88" s="34" t="e">
        <f>AND(#REF!,"AAAAAHzXzkQ=")</f>
        <v>#REF!</v>
      </c>
      <c r="BR88" s="34" t="e">
        <f>AND(#REF!,"AAAAAHzXzkU=")</f>
        <v>#REF!</v>
      </c>
      <c r="BS88" s="34" t="e">
        <f>AND(#REF!,"AAAAAHzXzkY=")</f>
        <v>#REF!</v>
      </c>
      <c r="BT88" s="34" t="e">
        <f>AND(#REF!,"AAAAAHzXzkc=")</f>
        <v>#REF!</v>
      </c>
      <c r="BU88" s="34" t="e">
        <f>AND(#REF!,"AAAAAHzXzkg=")</f>
        <v>#REF!</v>
      </c>
      <c r="BV88" s="34" t="e">
        <f>AND(#REF!,"AAAAAHzXzkk=")</f>
        <v>#REF!</v>
      </c>
      <c r="BW88" s="34" t="e">
        <f>AND(#REF!,"AAAAAHzXzko=")</f>
        <v>#REF!</v>
      </c>
      <c r="BX88" s="34" t="e">
        <f>AND(#REF!,"AAAAAHzXzks=")</f>
        <v>#REF!</v>
      </c>
      <c r="BY88" s="34" t="e">
        <f>IF(#REF!,"AAAAAHzXzkw=",0)</f>
        <v>#REF!</v>
      </c>
      <c r="BZ88" s="34" t="e">
        <f>AND(#REF!,"AAAAAHzXzk0=")</f>
        <v>#REF!</v>
      </c>
      <c r="CA88" s="34" t="e">
        <f>AND(#REF!,"AAAAAHzXzk4=")</f>
        <v>#REF!</v>
      </c>
      <c r="CB88" s="34" t="e">
        <f>AND(#REF!,"AAAAAHzXzk8=")</f>
        <v>#REF!</v>
      </c>
      <c r="CC88" s="34" t="e">
        <f>AND(#REF!,"AAAAAHzXzlA=")</f>
        <v>#REF!</v>
      </c>
      <c r="CD88" s="34" t="e">
        <f>AND(#REF!,"AAAAAHzXzlE=")</f>
        <v>#REF!</v>
      </c>
      <c r="CE88" s="34" t="e">
        <f>AND(#REF!,"AAAAAHzXzlI=")</f>
        <v>#REF!</v>
      </c>
      <c r="CF88" s="34" t="e">
        <f>AND(#REF!,"AAAAAHzXzlM=")</f>
        <v>#REF!</v>
      </c>
      <c r="CG88" s="34" t="e">
        <f>AND(#REF!,"AAAAAHzXzlQ=")</f>
        <v>#REF!</v>
      </c>
      <c r="CH88" s="34" t="e">
        <f>AND(#REF!,"AAAAAHzXzlU=")</f>
        <v>#REF!</v>
      </c>
      <c r="CI88" s="34" t="e">
        <f>AND(#REF!,"AAAAAHzXzlY=")</f>
        <v>#REF!</v>
      </c>
      <c r="CJ88" s="34" t="e">
        <f>AND(#REF!,"AAAAAHzXzlc=")</f>
        <v>#REF!</v>
      </c>
      <c r="CK88" s="34" t="e">
        <f>AND(#REF!,"AAAAAHzXzlg=")</f>
        <v>#REF!</v>
      </c>
      <c r="CL88" s="34" t="e">
        <f>AND(#REF!,"AAAAAHzXzlk=")</f>
        <v>#REF!</v>
      </c>
      <c r="CM88" s="34" t="e">
        <f>AND(#REF!,"AAAAAHzXzlo=")</f>
        <v>#REF!</v>
      </c>
      <c r="CN88" s="34" t="e">
        <f>AND(#REF!,"AAAAAHzXzls=")</f>
        <v>#REF!</v>
      </c>
      <c r="CO88" s="34" t="e">
        <f>AND(#REF!,"AAAAAHzXzlw=")</f>
        <v>#REF!</v>
      </c>
      <c r="CP88" s="34" t="e">
        <f>IF(#REF!,"AAAAAHzXzl0=",0)</f>
        <v>#REF!</v>
      </c>
      <c r="CQ88" s="34" t="e">
        <f>AND(#REF!,"AAAAAHzXzl4=")</f>
        <v>#REF!</v>
      </c>
      <c r="CR88" s="34" t="e">
        <f>AND(#REF!,"AAAAAHzXzl8=")</f>
        <v>#REF!</v>
      </c>
      <c r="CS88" s="34" t="e">
        <f>AND(#REF!,"AAAAAHzXzmA=")</f>
        <v>#REF!</v>
      </c>
      <c r="CT88" s="34" t="e">
        <f>AND(#REF!,"AAAAAHzXzmE=")</f>
        <v>#REF!</v>
      </c>
      <c r="CU88" s="34" t="e">
        <f>AND(#REF!,"AAAAAHzXzmI=")</f>
        <v>#REF!</v>
      </c>
      <c r="CV88" s="34" t="e">
        <f>AND(#REF!,"AAAAAHzXzmM=")</f>
        <v>#REF!</v>
      </c>
      <c r="CW88" s="34" t="e">
        <f>AND(#REF!,"AAAAAHzXzmQ=")</f>
        <v>#REF!</v>
      </c>
      <c r="CX88" s="34" t="e">
        <f>AND(#REF!,"AAAAAHzXzmU=")</f>
        <v>#REF!</v>
      </c>
      <c r="CY88" s="34" t="e">
        <f>AND(#REF!,"AAAAAHzXzmY=")</f>
        <v>#REF!</v>
      </c>
      <c r="CZ88" s="34" t="e">
        <f>AND(#REF!,"AAAAAHzXzmc=")</f>
        <v>#REF!</v>
      </c>
      <c r="DA88" s="34" t="e">
        <f>AND(#REF!,"AAAAAHzXzmg=")</f>
        <v>#REF!</v>
      </c>
      <c r="DB88" s="34" t="e">
        <f>AND(#REF!,"AAAAAHzXzmk=")</f>
        <v>#REF!</v>
      </c>
      <c r="DC88" s="34" t="e">
        <f>AND(#REF!,"AAAAAHzXzmo=")</f>
        <v>#REF!</v>
      </c>
      <c r="DD88" s="34" t="e">
        <f>AND(#REF!,"AAAAAHzXzms=")</f>
        <v>#REF!</v>
      </c>
      <c r="DE88" s="34" t="e">
        <f>AND(#REF!,"AAAAAHzXzmw=")</f>
        <v>#REF!</v>
      </c>
      <c r="DF88" s="34" t="e">
        <f>AND(#REF!,"AAAAAHzXzm0=")</f>
        <v>#REF!</v>
      </c>
      <c r="DG88" s="34" t="e">
        <f>IF(#REF!,"AAAAAHzXzm4=",0)</f>
        <v>#REF!</v>
      </c>
      <c r="DH88" s="34" t="e">
        <f>AND(#REF!,"AAAAAHzXzm8=")</f>
        <v>#REF!</v>
      </c>
      <c r="DI88" s="34" t="e">
        <f>AND(#REF!,"AAAAAHzXznA=")</f>
        <v>#REF!</v>
      </c>
      <c r="DJ88" s="34" t="e">
        <f>AND(#REF!,"AAAAAHzXznE=")</f>
        <v>#REF!</v>
      </c>
      <c r="DK88" s="34" t="e">
        <f>AND(#REF!,"AAAAAHzXznI=")</f>
        <v>#REF!</v>
      </c>
      <c r="DL88" s="34" t="e">
        <f>AND(#REF!,"AAAAAHzXznM=")</f>
        <v>#REF!</v>
      </c>
      <c r="DM88" s="34" t="e">
        <f>AND(#REF!,"AAAAAHzXznQ=")</f>
        <v>#REF!</v>
      </c>
      <c r="DN88" s="34" t="e">
        <f>AND(#REF!,"AAAAAHzXznU=")</f>
        <v>#REF!</v>
      </c>
      <c r="DO88" s="34" t="e">
        <f>AND(#REF!,"AAAAAHzXznY=")</f>
        <v>#REF!</v>
      </c>
      <c r="DP88" s="34" t="e">
        <f>AND(#REF!,"AAAAAHzXznc=")</f>
        <v>#REF!</v>
      </c>
      <c r="DQ88" s="34" t="e">
        <f>AND(#REF!,"AAAAAHzXzng=")</f>
        <v>#REF!</v>
      </c>
      <c r="DR88" s="34" t="e">
        <f>AND(#REF!,"AAAAAHzXznk=")</f>
        <v>#REF!</v>
      </c>
      <c r="DS88" s="34" t="e">
        <f>AND(#REF!,"AAAAAHzXzno=")</f>
        <v>#REF!</v>
      </c>
      <c r="DT88" s="34" t="e">
        <f>AND(#REF!,"AAAAAHzXzns=")</f>
        <v>#REF!</v>
      </c>
      <c r="DU88" s="34" t="e">
        <f>AND(#REF!,"AAAAAHzXznw=")</f>
        <v>#REF!</v>
      </c>
      <c r="DV88" s="34" t="e">
        <f>AND(#REF!,"AAAAAHzXzn0=")</f>
        <v>#REF!</v>
      </c>
      <c r="DW88" s="34" t="e">
        <f>AND(#REF!,"AAAAAHzXzn4=")</f>
        <v>#REF!</v>
      </c>
      <c r="DX88" s="34" t="e">
        <f>IF(#REF!,"AAAAAHzXzn8=",0)</f>
        <v>#REF!</v>
      </c>
      <c r="DY88" s="34" t="e">
        <f>AND(#REF!,"AAAAAHzXzoA=")</f>
        <v>#REF!</v>
      </c>
      <c r="DZ88" s="34" t="e">
        <f>AND(#REF!,"AAAAAHzXzoE=")</f>
        <v>#REF!</v>
      </c>
      <c r="EA88" s="34" t="e">
        <f>AND(#REF!,"AAAAAHzXzoI=")</f>
        <v>#REF!</v>
      </c>
      <c r="EB88" s="34" t="e">
        <f>AND(#REF!,"AAAAAHzXzoM=")</f>
        <v>#REF!</v>
      </c>
      <c r="EC88" s="34" t="e">
        <f>AND(#REF!,"AAAAAHzXzoQ=")</f>
        <v>#REF!</v>
      </c>
      <c r="ED88" s="34" t="e">
        <f>AND(#REF!,"AAAAAHzXzoU=")</f>
        <v>#REF!</v>
      </c>
      <c r="EE88" s="34" t="e">
        <f>AND(#REF!,"AAAAAHzXzoY=")</f>
        <v>#REF!</v>
      </c>
      <c r="EF88" s="34" t="e">
        <f>AND(#REF!,"AAAAAHzXzoc=")</f>
        <v>#REF!</v>
      </c>
      <c r="EG88" s="34" t="e">
        <f>AND(#REF!,"AAAAAHzXzog=")</f>
        <v>#REF!</v>
      </c>
      <c r="EH88" s="34" t="e">
        <f>AND(#REF!,"AAAAAHzXzok=")</f>
        <v>#REF!</v>
      </c>
      <c r="EI88" s="34" t="e">
        <f>AND(#REF!,"AAAAAHzXzoo=")</f>
        <v>#REF!</v>
      </c>
      <c r="EJ88" s="34" t="e">
        <f>AND(#REF!,"AAAAAHzXzos=")</f>
        <v>#REF!</v>
      </c>
      <c r="EK88" s="34" t="e">
        <f>AND(#REF!,"AAAAAHzXzow=")</f>
        <v>#REF!</v>
      </c>
      <c r="EL88" s="34" t="e">
        <f>AND(#REF!,"AAAAAHzXzo0=")</f>
        <v>#REF!</v>
      </c>
      <c r="EM88" s="34" t="e">
        <f>AND(#REF!,"AAAAAHzXzo4=")</f>
        <v>#REF!</v>
      </c>
      <c r="EN88" s="34" t="e">
        <f>AND(#REF!,"AAAAAHzXzo8=")</f>
        <v>#REF!</v>
      </c>
      <c r="EO88" s="34" t="e">
        <f>IF(#REF!,"AAAAAHzXzpA=",0)</f>
        <v>#REF!</v>
      </c>
      <c r="EP88" s="34" t="e">
        <f>AND(#REF!,"AAAAAHzXzpE=")</f>
        <v>#REF!</v>
      </c>
      <c r="EQ88" s="34" t="e">
        <f>AND(#REF!,"AAAAAHzXzpI=")</f>
        <v>#REF!</v>
      </c>
      <c r="ER88" s="34" t="e">
        <f>AND(#REF!,"AAAAAHzXzpM=")</f>
        <v>#REF!</v>
      </c>
      <c r="ES88" s="34" t="e">
        <f>AND(#REF!,"AAAAAHzXzpQ=")</f>
        <v>#REF!</v>
      </c>
      <c r="ET88" s="34" t="e">
        <f>AND(#REF!,"AAAAAHzXzpU=")</f>
        <v>#REF!</v>
      </c>
      <c r="EU88" s="34" t="e">
        <f>AND(#REF!,"AAAAAHzXzpY=")</f>
        <v>#REF!</v>
      </c>
      <c r="EV88" s="34" t="e">
        <f>AND(#REF!,"AAAAAHzXzpc=")</f>
        <v>#REF!</v>
      </c>
      <c r="EW88" s="34" t="e">
        <f>AND(#REF!,"AAAAAHzXzpg=")</f>
        <v>#REF!</v>
      </c>
      <c r="EX88" s="34" t="e">
        <f>AND(#REF!,"AAAAAHzXzpk=")</f>
        <v>#REF!</v>
      </c>
      <c r="EY88" s="34" t="e">
        <f>AND(#REF!,"AAAAAHzXzpo=")</f>
        <v>#REF!</v>
      </c>
      <c r="EZ88" s="34" t="e">
        <f>AND(#REF!,"AAAAAHzXzps=")</f>
        <v>#REF!</v>
      </c>
      <c r="FA88" s="34" t="e">
        <f>AND(#REF!,"AAAAAHzXzpw=")</f>
        <v>#REF!</v>
      </c>
      <c r="FB88" s="34" t="e">
        <f>AND(#REF!,"AAAAAHzXzp0=")</f>
        <v>#REF!</v>
      </c>
      <c r="FC88" s="34" t="e">
        <f>AND(#REF!,"AAAAAHzXzp4=")</f>
        <v>#REF!</v>
      </c>
      <c r="FD88" s="34" t="e">
        <f>AND(#REF!,"AAAAAHzXzp8=")</f>
        <v>#REF!</v>
      </c>
      <c r="FE88" s="34" t="e">
        <f>AND(#REF!,"AAAAAHzXzqA=")</f>
        <v>#REF!</v>
      </c>
      <c r="FF88" s="34" t="e">
        <f>IF(#REF!,"AAAAAHzXzqE=",0)</f>
        <v>#REF!</v>
      </c>
      <c r="FG88" s="34" t="e">
        <f>AND(#REF!,"AAAAAHzXzqI=")</f>
        <v>#REF!</v>
      </c>
      <c r="FH88" s="34" t="e">
        <f>AND(#REF!,"AAAAAHzXzqM=")</f>
        <v>#REF!</v>
      </c>
      <c r="FI88" s="34" t="e">
        <f>AND(#REF!,"AAAAAHzXzqQ=")</f>
        <v>#REF!</v>
      </c>
      <c r="FJ88" s="34" t="e">
        <f>AND(#REF!,"AAAAAHzXzqU=")</f>
        <v>#REF!</v>
      </c>
      <c r="FK88" s="34" t="e">
        <f>AND(#REF!,"AAAAAHzXzqY=")</f>
        <v>#REF!</v>
      </c>
      <c r="FL88" s="34" t="e">
        <f>AND(#REF!,"AAAAAHzXzqc=")</f>
        <v>#REF!</v>
      </c>
      <c r="FM88" s="34" t="e">
        <f>AND(#REF!,"AAAAAHzXzqg=")</f>
        <v>#REF!</v>
      </c>
      <c r="FN88" s="34" t="e">
        <f>AND(#REF!,"AAAAAHzXzqk=")</f>
        <v>#REF!</v>
      </c>
      <c r="FO88" s="34" t="e">
        <f>AND(#REF!,"AAAAAHzXzqo=")</f>
        <v>#REF!</v>
      </c>
      <c r="FP88" s="34" t="e">
        <f>AND(#REF!,"AAAAAHzXzqs=")</f>
        <v>#REF!</v>
      </c>
      <c r="FQ88" s="34" t="e">
        <f>AND(#REF!,"AAAAAHzXzqw=")</f>
        <v>#REF!</v>
      </c>
      <c r="FR88" s="34" t="e">
        <f>AND(#REF!,"AAAAAHzXzq0=")</f>
        <v>#REF!</v>
      </c>
      <c r="FS88" s="34" t="e">
        <f>AND(#REF!,"AAAAAHzXzq4=")</f>
        <v>#REF!</v>
      </c>
      <c r="FT88" s="34" t="e">
        <f>AND(#REF!,"AAAAAHzXzq8=")</f>
        <v>#REF!</v>
      </c>
      <c r="FU88" s="34" t="e">
        <f>AND(#REF!,"AAAAAHzXzrA=")</f>
        <v>#REF!</v>
      </c>
      <c r="FV88" s="34" t="e">
        <f>AND(#REF!,"AAAAAHzXzrE=")</f>
        <v>#REF!</v>
      </c>
      <c r="FW88" s="34" t="e">
        <f>IF(#REF!,"AAAAAHzXzrI=",0)</f>
        <v>#REF!</v>
      </c>
      <c r="FX88" s="34" t="e">
        <f>AND(#REF!,"AAAAAHzXzrM=")</f>
        <v>#REF!</v>
      </c>
      <c r="FY88" s="34" t="e">
        <f>AND(#REF!,"AAAAAHzXzrQ=")</f>
        <v>#REF!</v>
      </c>
      <c r="FZ88" s="34" t="e">
        <f>AND(#REF!,"AAAAAHzXzrU=")</f>
        <v>#REF!</v>
      </c>
      <c r="GA88" s="34" t="e">
        <f>AND(#REF!,"AAAAAHzXzrY=")</f>
        <v>#REF!</v>
      </c>
      <c r="GB88" s="34" t="e">
        <f>AND(#REF!,"AAAAAHzXzrc=")</f>
        <v>#REF!</v>
      </c>
      <c r="GC88" s="34" t="e">
        <f>AND(#REF!,"AAAAAHzXzrg=")</f>
        <v>#REF!</v>
      </c>
      <c r="GD88" s="34" t="e">
        <f>AND(#REF!,"AAAAAHzXzrk=")</f>
        <v>#REF!</v>
      </c>
      <c r="GE88" s="34" t="e">
        <f>AND(#REF!,"AAAAAHzXzro=")</f>
        <v>#REF!</v>
      </c>
      <c r="GF88" s="34" t="e">
        <f>AND(#REF!,"AAAAAHzXzrs=")</f>
        <v>#REF!</v>
      </c>
      <c r="GG88" s="34" t="e">
        <f>AND(#REF!,"AAAAAHzXzrw=")</f>
        <v>#REF!</v>
      </c>
      <c r="GH88" s="34" t="e">
        <f>AND(#REF!,"AAAAAHzXzr0=")</f>
        <v>#REF!</v>
      </c>
      <c r="GI88" s="34" t="e">
        <f>AND(#REF!,"AAAAAHzXzr4=")</f>
        <v>#REF!</v>
      </c>
      <c r="GJ88" s="34" t="e">
        <f>AND(#REF!,"AAAAAHzXzr8=")</f>
        <v>#REF!</v>
      </c>
      <c r="GK88" s="34" t="e">
        <f>AND(#REF!,"AAAAAHzXzsA=")</f>
        <v>#REF!</v>
      </c>
      <c r="GL88" s="34" t="e">
        <f>AND(#REF!,"AAAAAHzXzsE=")</f>
        <v>#REF!</v>
      </c>
      <c r="GM88" s="34" t="e">
        <f>AND(#REF!,"AAAAAHzXzsI=")</f>
        <v>#REF!</v>
      </c>
      <c r="GN88" s="34" t="e">
        <f>IF(#REF!,"AAAAAHzXzsM=",0)</f>
        <v>#REF!</v>
      </c>
      <c r="GO88" s="34" t="e">
        <f>AND(#REF!,"AAAAAHzXzsQ=")</f>
        <v>#REF!</v>
      </c>
      <c r="GP88" s="34" t="e">
        <f>AND(#REF!,"AAAAAHzXzsU=")</f>
        <v>#REF!</v>
      </c>
      <c r="GQ88" s="34" t="e">
        <f>AND(#REF!,"AAAAAHzXzsY=")</f>
        <v>#REF!</v>
      </c>
      <c r="GR88" s="34" t="e">
        <f>AND(#REF!,"AAAAAHzXzsc=")</f>
        <v>#REF!</v>
      </c>
      <c r="GS88" s="34" t="e">
        <f>AND(#REF!,"AAAAAHzXzsg=")</f>
        <v>#REF!</v>
      </c>
      <c r="GT88" s="34" t="e">
        <f>AND(#REF!,"AAAAAHzXzsk=")</f>
        <v>#REF!</v>
      </c>
      <c r="GU88" s="34" t="e">
        <f>AND(#REF!,"AAAAAHzXzso=")</f>
        <v>#REF!</v>
      </c>
      <c r="GV88" s="34" t="e">
        <f>AND(#REF!,"AAAAAHzXzss=")</f>
        <v>#REF!</v>
      </c>
      <c r="GW88" s="34" t="e">
        <f>AND(#REF!,"AAAAAHzXzsw=")</f>
        <v>#REF!</v>
      </c>
      <c r="GX88" s="34" t="e">
        <f>AND(#REF!,"AAAAAHzXzs0=")</f>
        <v>#REF!</v>
      </c>
      <c r="GY88" s="34" t="e">
        <f>AND(#REF!,"AAAAAHzXzs4=")</f>
        <v>#REF!</v>
      </c>
      <c r="GZ88" s="34" t="e">
        <f>AND(#REF!,"AAAAAHzXzs8=")</f>
        <v>#REF!</v>
      </c>
      <c r="HA88" s="34" t="e">
        <f>AND(#REF!,"AAAAAHzXztA=")</f>
        <v>#REF!</v>
      </c>
      <c r="HB88" s="34" t="e">
        <f>AND(#REF!,"AAAAAHzXztE=")</f>
        <v>#REF!</v>
      </c>
      <c r="HC88" s="34" t="e">
        <f>AND(#REF!,"AAAAAHzXztI=")</f>
        <v>#REF!</v>
      </c>
      <c r="HD88" s="34" t="e">
        <f>AND(#REF!,"AAAAAHzXztM=")</f>
        <v>#REF!</v>
      </c>
      <c r="HE88" s="34" t="e">
        <f>IF(#REF!,"AAAAAHzXztQ=",0)</f>
        <v>#REF!</v>
      </c>
      <c r="HF88" s="34" t="e">
        <f>AND(#REF!,"AAAAAHzXztU=")</f>
        <v>#REF!</v>
      </c>
      <c r="HG88" s="34" t="e">
        <f>AND(#REF!,"AAAAAHzXztY=")</f>
        <v>#REF!</v>
      </c>
      <c r="HH88" s="34" t="e">
        <f>AND(#REF!,"AAAAAHzXztc=")</f>
        <v>#REF!</v>
      </c>
      <c r="HI88" s="34" t="e">
        <f>AND(#REF!,"AAAAAHzXztg=")</f>
        <v>#REF!</v>
      </c>
      <c r="HJ88" s="34" t="e">
        <f>AND(#REF!,"AAAAAHzXztk=")</f>
        <v>#REF!</v>
      </c>
      <c r="HK88" s="34" t="e">
        <f>AND(#REF!,"AAAAAHzXzto=")</f>
        <v>#REF!</v>
      </c>
      <c r="HL88" s="34" t="e">
        <f>AND(#REF!,"AAAAAHzXzts=")</f>
        <v>#REF!</v>
      </c>
      <c r="HM88" s="34" t="e">
        <f>AND(#REF!,"AAAAAHzXztw=")</f>
        <v>#REF!</v>
      </c>
      <c r="HN88" s="34" t="e">
        <f>AND(#REF!,"AAAAAHzXzt0=")</f>
        <v>#REF!</v>
      </c>
      <c r="HO88" s="34" t="e">
        <f>AND(#REF!,"AAAAAHzXzt4=")</f>
        <v>#REF!</v>
      </c>
      <c r="HP88" s="34" t="e">
        <f>AND(#REF!,"AAAAAHzXzt8=")</f>
        <v>#REF!</v>
      </c>
      <c r="HQ88" s="34" t="e">
        <f>AND(#REF!,"AAAAAHzXzuA=")</f>
        <v>#REF!</v>
      </c>
      <c r="HR88" s="34" t="e">
        <f>AND(#REF!,"AAAAAHzXzuE=")</f>
        <v>#REF!</v>
      </c>
      <c r="HS88" s="34" t="e">
        <f>AND(#REF!,"AAAAAHzXzuI=")</f>
        <v>#REF!</v>
      </c>
      <c r="HT88" s="34" t="e">
        <f>AND(#REF!,"AAAAAHzXzuM=")</f>
        <v>#REF!</v>
      </c>
      <c r="HU88" s="34" t="e">
        <f>AND(#REF!,"AAAAAHzXzuQ=")</f>
        <v>#REF!</v>
      </c>
      <c r="HV88" s="34" t="e">
        <f>IF(#REF!,"AAAAAHzXzuU=",0)</f>
        <v>#REF!</v>
      </c>
      <c r="HW88" s="34" t="e">
        <f>AND(#REF!,"AAAAAHzXzuY=")</f>
        <v>#REF!</v>
      </c>
      <c r="HX88" s="34" t="e">
        <f>AND(#REF!,"AAAAAHzXzuc=")</f>
        <v>#REF!</v>
      </c>
      <c r="HY88" s="34" t="e">
        <f>AND(#REF!,"AAAAAHzXzug=")</f>
        <v>#REF!</v>
      </c>
      <c r="HZ88" s="34" t="e">
        <f>AND(#REF!,"AAAAAHzXzuk=")</f>
        <v>#REF!</v>
      </c>
      <c r="IA88" s="34" t="e">
        <f>AND(#REF!,"AAAAAHzXzuo=")</f>
        <v>#REF!</v>
      </c>
      <c r="IB88" s="34" t="e">
        <f>AND(#REF!,"AAAAAHzXzus=")</f>
        <v>#REF!</v>
      </c>
      <c r="IC88" s="34" t="e">
        <f>AND(#REF!,"AAAAAHzXzuw=")</f>
        <v>#REF!</v>
      </c>
      <c r="ID88" s="34" t="e">
        <f>AND(#REF!,"AAAAAHzXzu0=")</f>
        <v>#REF!</v>
      </c>
      <c r="IE88" s="34" t="e">
        <f>AND(#REF!,"AAAAAHzXzu4=")</f>
        <v>#REF!</v>
      </c>
      <c r="IF88" s="34" t="e">
        <f>AND(#REF!,"AAAAAHzXzu8=")</f>
        <v>#REF!</v>
      </c>
      <c r="IG88" s="34" t="e">
        <f>AND(#REF!,"AAAAAHzXzvA=")</f>
        <v>#REF!</v>
      </c>
      <c r="IH88" s="34" t="e">
        <f>AND(#REF!,"AAAAAHzXzvE=")</f>
        <v>#REF!</v>
      </c>
      <c r="II88" s="34" t="e">
        <f>AND(#REF!,"AAAAAHzXzvI=")</f>
        <v>#REF!</v>
      </c>
      <c r="IJ88" s="34" t="e">
        <f>AND(#REF!,"AAAAAHzXzvM=")</f>
        <v>#REF!</v>
      </c>
      <c r="IK88" s="34" t="e">
        <f>AND(#REF!,"AAAAAHzXzvQ=")</f>
        <v>#REF!</v>
      </c>
      <c r="IL88" s="34" t="e">
        <f>AND(#REF!,"AAAAAHzXzvU=")</f>
        <v>#REF!</v>
      </c>
      <c r="IM88" s="34" t="e">
        <f>IF(#REF!,"AAAAAHzXzvY=",0)</f>
        <v>#REF!</v>
      </c>
      <c r="IN88" s="34" t="e">
        <f>AND(#REF!,"AAAAAHzXzvc=")</f>
        <v>#REF!</v>
      </c>
      <c r="IO88" s="34" t="e">
        <f>AND(#REF!,"AAAAAHzXzvg=")</f>
        <v>#REF!</v>
      </c>
      <c r="IP88" s="34" t="e">
        <f>AND(#REF!,"AAAAAHzXzvk=")</f>
        <v>#REF!</v>
      </c>
      <c r="IQ88" s="34" t="e">
        <f>AND(#REF!,"AAAAAHzXzvo=")</f>
        <v>#REF!</v>
      </c>
      <c r="IR88" s="34" t="e">
        <f>AND(#REF!,"AAAAAHzXzvs=")</f>
        <v>#REF!</v>
      </c>
      <c r="IS88" s="34" t="e">
        <f>AND(#REF!,"AAAAAHzXzvw=")</f>
        <v>#REF!</v>
      </c>
      <c r="IT88" s="34" t="e">
        <f>AND(#REF!,"AAAAAHzXzv0=")</f>
        <v>#REF!</v>
      </c>
      <c r="IU88" s="34" t="e">
        <f>AND(#REF!,"AAAAAHzXzv4=")</f>
        <v>#REF!</v>
      </c>
      <c r="IV88" s="34" t="e">
        <f>AND(#REF!,"AAAAAHzXzv8=")</f>
        <v>#REF!</v>
      </c>
    </row>
    <row r="89" spans="1:256" ht="12.75" customHeight="1" x14ac:dyDescent="0.2">
      <c r="A89" s="34" t="e">
        <f>AND(#REF!,"AAAAAH4/7gA=")</f>
        <v>#REF!</v>
      </c>
      <c r="B89" s="34" t="e">
        <f>AND(#REF!,"AAAAAH4/7gE=")</f>
        <v>#REF!</v>
      </c>
      <c r="C89" s="34" t="e">
        <f>AND(#REF!,"AAAAAH4/7gI=")</f>
        <v>#REF!</v>
      </c>
      <c r="D89" s="34" t="e">
        <f>AND(#REF!,"AAAAAH4/7gM=")</f>
        <v>#REF!</v>
      </c>
      <c r="E89" s="34" t="e">
        <f>AND(#REF!,"AAAAAH4/7gQ=")</f>
        <v>#REF!</v>
      </c>
      <c r="F89" s="34" t="e">
        <f>AND(#REF!,"AAAAAH4/7gU=")</f>
        <v>#REF!</v>
      </c>
      <c r="G89" s="34" t="e">
        <f>AND(#REF!,"AAAAAH4/7gY=")</f>
        <v>#REF!</v>
      </c>
      <c r="H89" s="34" t="e">
        <f>IF(#REF!,"AAAAAH4/7gc=",0)</f>
        <v>#REF!</v>
      </c>
      <c r="I89" s="34" t="e">
        <f>AND(#REF!,"AAAAAH4/7gg=")</f>
        <v>#REF!</v>
      </c>
      <c r="J89" s="34" t="e">
        <f>AND(#REF!,"AAAAAH4/7gk=")</f>
        <v>#REF!</v>
      </c>
      <c r="K89" s="34" t="e">
        <f>AND(#REF!,"AAAAAH4/7go=")</f>
        <v>#REF!</v>
      </c>
      <c r="L89" s="34" t="e">
        <f>AND(#REF!,"AAAAAH4/7gs=")</f>
        <v>#REF!</v>
      </c>
      <c r="M89" s="34" t="e">
        <f>AND(#REF!,"AAAAAH4/7gw=")</f>
        <v>#REF!</v>
      </c>
      <c r="N89" s="34" t="e">
        <f>AND(#REF!,"AAAAAH4/7g0=")</f>
        <v>#REF!</v>
      </c>
      <c r="O89" s="34" t="e">
        <f>AND(#REF!,"AAAAAH4/7g4=")</f>
        <v>#REF!</v>
      </c>
      <c r="P89" s="34" t="e">
        <f>AND(#REF!,"AAAAAH4/7g8=")</f>
        <v>#REF!</v>
      </c>
      <c r="Q89" s="34" t="e">
        <f>AND(#REF!,"AAAAAH4/7hA=")</f>
        <v>#REF!</v>
      </c>
      <c r="R89" s="34" t="e">
        <f>AND(#REF!,"AAAAAH4/7hE=")</f>
        <v>#REF!</v>
      </c>
      <c r="S89" s="34" t="e">
        <f>AND(#REF!,"AAAAAH4/7hI=")</f>
        <v>#REF!</v>
      </c>
      <c r="T89" s="34" t="e">
        <f>AND(#REF!,"AAAAAH4/7hM=")</f>
        <v>#REF!</v>
      </c>
      <c r="U89" s="34" t="e">
        <f>AND(#REF!,"AAAAAH4/7hQ=")</f>
        <v>#REF!</v>
      </c>
      <c r="V89" s="34" t="e">
        <f>AND(#REF!,"AAAAAH4/7hU=")</f>
        <v>#REF!</v>
      </c>
      <c r="W89" s="34" t="e">
        <f>AND(#REF!,"AAAAAH4/7hY=")</f>
        <v>#REF!</v>
      </c>
      <c r="X89" s="34" t="e">
        <f>AND(#REF!,"AAAAAH4/7hc=")</f>
        <v>#REF!</v>
      </c>
      <c r="Y89" s="34" t="e">
        <f>IF(#REF!,"AAAAAH4/7hg=",0)</f>
        <v>#REF!</v>
      </c>
      <c r="Z89" s="34" t="e">
        <f>AND(#REF!,"AAAAAH4/7hk=")</f>
        <v>#REF!</v>
      </c>
      <c r="AA89" s="34" t="e">
        <f>AND(#REF!,"AAAAAH4/7ho=")</f>
        <v>#REF!</v>
      </c>
      <c r="AB89" s="34" t="e">
        <f>AND(#REF!,"AAAAAH4/7hs=")</f>
        <v>#REF!</v>
      </c>
      <c r="AC89" s="34" t="e">
        <f>AND(#REF!,"AAAAAH4/7hw=")</f>
        <v>#REF!</v>
      </c>
      <c r="AD89" s="34" t="e">
        <f>AND(#REF!,"AAAAAH4/7h0=")</f>
        <v>#REF!</v>
      </c>
      <c r="AE89" s="34" t="e">
        <f>AND(#REF!,"AAAAAH4/7h4=")</f>
        <v>#REF!</v>
      </c>
      <c r="AF89" s="34" t="e">
        <f>AND(#REF!,"AAAAAH4/7h8=")</f>
        <v>#REF!</v>
      </c>
      <c r="AG89" s="34" t="e">
        <f>AND(#REF!,"AAAAAH4/7iA=")</f>
        <v>#REF!</v>
      </c>
      <c r="AH89" s="34" t="e">
        <f>AND(#REF!,"AAAAAH4/7iE=")</f>
        <v>#REF!</v>
      </c>
      <c r="AI89" s="34" t="e">
        <f>AND(#REF!,"AAAAAH4/7iI=")</f>
        <v>#REF!</v>
      </c>
      <c r="AJ89" s="34" t="e">
        <f>AND(#REF!,"AAAAAH4/7iM=")</f>
        <v>#REF!</v>
      </c>
      <c r="AK89" s="34" t="e">
        <f>AND(#REF!,"AAAAAH4/7iQ=")</f>
        <v>#REF!</v>
      </c>
      <c r="AL89" s="34" t="e">
        <f>AND(#REF!,"AAAAAH4/7iU=")</f>
        <v>#REF!</v>
      </c>
      <c r="AM89" s="34" t="e">
        <f>AND(#REF!,"AAAAAH4/7iY=")</f>
        <v>#REF!</v>
      </c>
      <c r="AN89" s="34" t="e">
        <f>AND(#REF!,"AAAAAH4/7ic=")</f>
        <v>#REF!</v>
      </c>
      <c r="AO89" s="34" t="e">
        <f>AND(#REF!,"AAAAAH4/7ig=")</f>
        <v>#REF!</v>
      </c>
      <c r="AP89" s="34" t="e">
        <f>IF(#REF!,"AAAAAH4/7ik=",0)</f>
        <v>#REF!</v>
      </c>
      <c r="AQ89" s="34" t="e">
        <f>AND(#REF!,"AAAAAH4/7io=")</f>
        <v>#REF!</v>
      </c>
      <c r="AR89" s="34" t="e">
        <f>AND(#REF!,"AAAAAH4/7is=")</f>
        <v>#REF!</v>
      </c>
      <c r="AS89" s="34" t="e">
        <f>AND(#REF!,"AAAAAH4/7iw=")</f>
        <v>#REF!</v>
      </c>
      <c r="AT89" s="34" t="e">
        <f>AND(#REF!,"AAAAAH4/7i0=")</f>
        <v>#REF!</v>
      </c>
      <c r="AU89" s="34" t="e">
        <f>AND(#REF!,"AAAAAH4/7i4=")</f>
        <v>#REF!</v>
      </c>
      <c r="AV89" s="34" t="e">
        <f>AND(#REF!,"AAAAAH4/7i8=")</f>
        <v>#REF!</v>
      </c>
      <c r="AW89" s="34" t="e">
        <f>AND(#REF!,"AAAAAH4/7jA=")</f>
        <v>#REF!</v>
      </c>
      <c r="AX89" s="34" t="e">
        <f>AND(#REF!,"AAAAAH4/7jE=")</f>
        <v>#REF!</v>
      </c>
      <c r="AY89" s="34" t="e">
        <f>AND(#REF!,"AAAAAH4/7jI=")</f>
        <v>#REF!</v>
      </c>
      <c r="AZ89" s="34" t="e">
        <f>AND(#REF!,"AAAAAH4/7jM=")</f>
        <v>#REF!</v>
      </c>
      <c r="BA89" s="34" t="e">
        <f>AND(#REF!,"AAAAAH4/7jQ=")</f>
        <v>#REF!</v>
      </c>
      <c r="BB89" s="34" t="e">
        <f>AND(#REF!,"AAAAAH4/7jU=")</f>
        <v>#REF!</v>
      </c>
      <c r="BC89" s="34" t="e">
        <f>AND(#REF!,"AAAAAH4/7jY=")</f>
        <v>#REF!</v>
      </c>
      <c r="BD89" s="34" t="e">
        <f>AND(#REF!,"AAAAAH4/7jc=")</f>
        <v>#REF!</v>
      </c>
      <c r="BE89" s="34" t="e">
        <f>AND(#REF!,"AAAAAH4/7jg=")</f>
        <v>#REF!</v>
      </c>
      <c r="BF89" s="34" t="e">
        <f>AND(#REF!,"AAAAAH4/7jk=")</f>
        <v>#REF!</v>
      </c>
      <c r="BG89" s="34" t="e">
        <f>IF(#REF!,"AAAAAH4/7jo=",0)</f>
        <v>#REF!</v>
      </c>
      <c r="BH89" s="34" t="e">
        <f>AND(#REF!,"AAAAAH4/7js=")</f>
        <v>#REF!</v>
      </c>
      <c r="BI89" s="34" t="e">
        <f>AND(#REF!,"AAAAAH4/7jw=")</f>
        <v>#REF!</v>
      </c>
      <c r="BJ89" s="34" t="e">
        <f>AND(#REF!,"AAAAAH4/7j0=")</f>
        <v>#REF!</v>
      </c>
      <c r="BK89" s="34" t="e">
        <f>AND(#REF!,"AAAAAH4/7j4=")</f>
        <v>#REF!</v>
      </c>
      <c r="BL89" s="34" t="e">
        <f>AND(#REF!,"AAAAAH4/7j8=")</f>
        <v>#REF!</v>
      </c>
      <c r="BM89" s="34" t="e">
        <f>AND(#REF!,"AAAAAH4/7kA=")</f>
        <v>#REF!</v>
      </c>
      <c r="BN89" s="34" t="e">
        <f>AND(#REF!,"AAAAAH4/7kE=")</f>
        <v>#REF!</v>
      </c>
      <c r="BO89" s="34" t="e">
        <f>AND(#REF!,"AAAAAH4/7kI=")</f>
        <v>#REF!</v>
      </c>
      <c r="BP89" s="34" t="e">
        <f>AND(#REF!,"AAAAAH4/7kM=")</f>
        <v>#REF!</v>
      </c>
      <c r="BQ89" s="34" t="e">
        <f>AND(#REF!,"AAAAAH4/7kQ=")</f>
        <v>#REF!</v>
      </c>
      <c r="BR89" s="34" t="e">
        <f>AND(#REF!,"AAAAAH4/7kU=")</f>
        <v>#REF!</v>
      </c>
      <c r="BS89" s="34" t="e">
        <f>AND(#REF!,"AAAAAH4/7kY=")</f>
        <v>#REF!</v>
      </c>
      <c r="BT89" s="34" t="e">
        <f>AND(#REF!,"AAAAAH4/7kc=")</f>
        <v>#REF!</v>
      </c>
      <c r="BU89" s="34" t="e">
        <f>AND(#REF!,"AAAAAH4/7kg=")</f>
        <v>#REF!</v>
      </c>
      <c r="BV89" s="34" t="e">
        <f>AND(#REF!,"AAAAAH4/7kk=")</f>
        <v>#REF!</v>
      </c>
      <c r="BW89" s="34" t="e">
        <f>AND(#REF!,"AAAAAH4/7ko=")</f>
        <v>#REF!</v>
      </c>
      <c r="BX89" s="34" t="e">
        <f>IF(#REF!,"AAAAAH4/7ks=",0)</f>
        <v>#REF!</v>
      </c>
      <c r="BY89" s="34" t="e">
        <f>AND(#REF!,"AAAAAH4/7kw=")</f>
        <v>#REF!</v>
      </c>
      <c r="BZ89" s="34" t="e">
        <f>AND(#REF!,"AAAAAH4/7k0=")</f>
        <v>#REF!</v>
      </c>
      <c r="CA89" s="34" t="e">
        <f>AND(#REF!,"AAAAAH4/7k4=")</f>
        <v>#REF!</v>
      </c>
      <c r="CB89" s="34" t="e">
        <f>AND(#REF!,"AAAAAH4/7k8=")</f>
        <v>#REF!</v>
      </c>
      <c r="CC89" s="34" t="e">
        <f>AND(#REF!,"AAAAAH4/7lA=")</f>
        <v>#REF!</v>
      </c>
      <c r="CD89" s="34" t="e">
        <f>AND(#REF!,"AAAAAH4/7lE=")</f>
        <v>#REF!</v>
      </c>
      <c r="CE89" s="34" t="e">
        <f>AND(#REF!,"AAAAAH4/7lI=")</f>
        <v>#REF!</v>
      </c>
      <c r="CF89" s="34" t="e">
        <f>AND(#REF!,"AAAAAH4/7lM=")</f>
        <v>#REF!</v>
      </c>
      <c r="CG89" s="34" t="e">
        <f>AND(#REF!,"AAAAAH4/7lQ=")</f>
        <v>#REF!</v>
      </c>
      <c r="CH89" s="34" t="e">
        <f>AND(#REF!,"AAAAAH4/7lU=")</f>
        <v>#REF!</v>
      </c>
      <c r="CI89" s="34" t="e">
        <f>AND(#REF!,"AAAAAH4/7lY=")</f>
        <v>#REF!</v>
      </c>
      <c r="CJ89" s="34" t="e">
        <f>AND(#REF!,"AAAAAH4/7lc=")</f>
        <v>#REF!</v>
      </c>
      <c r="CK89" s="34" t="e">
        <f>AND(#REF!,"AAAAAH4/7lg=")</f>
        <v>#REF!</v>
      </c>
      <c r="CL89" s="34" t="e">
        <f>AND(#REF!,"AAAAAH4/7lk=")</f>
        <v>#REF!</v>
      </c>
      <c r="CM89" s="34" t="e">
        <f>AND(#REF!,"AAAAAH4/7lo=")</f>
        <v>#REF!</v>
      </c>
      <c r="CN89" s="34" t="e">
        <f>AND(#REF!,"AAAAAH4/7ls=")</f>
        <v>#REF!</v>
      </c>
      <c r="CO89" s="34" t="e">
        <f>IF(#REF!,"AAAAAH4/7lw=",0)</f>
        <v>#REF!</v>
      </c>
      <c r="CP89" s="34" t="e">
        <f>AND(#REF!,"AAAAAH4/7l0=")</f>
        <v>#REF!</v>
      </c>
      <c r="CQ89" s="34" t="e">
        <f>AND(#REF!,"AAAAAH4/7l4=")</f>
        <v>#REF!</v>
      </c>
      <c r="CR89" s="34" t="e">
        <f>AND(#REF!,"AAAAAH4/7l8=")</f>
        <v>#REF!</v>
      </c>
      <c r="CS89" s="34" t="e">
        <f>AND(#REF!,"AAAAAH4/7mA=")</f>
        <v>#REF!</v>
      </c>
      <c r="CT89" s="34" t="e">
        <f>AND(#REF!,"AAAAAH4/7mE=")</f>
        <v>#REF!</v>
      </c>
      <c r="CU89" s="34" t="e">
        <f>AND(#REF!,"AAAAAH4/7mI=")</f>
        <v>#REF!</v>
      </c>
      <c r="CV89" s="34" t="e">
        <f>AND(#REF!,"AAAAAH4/7mM=")</f>
        <v>#REF!</v>
      </c>
      <c r="CW89" s="34" t="e">
        <f>AND(#REF!,"AAAAAH4/7mQ=")</f>
        <v>#REF!</v>
      </c>
      <c r="CX89" s="34" t="e">
        <f>AND(#REF!,"AAAAAH4/7mU=")</f>
        <v>#REF!</v>
      </c>
      <c r="CY89" s="34" t="e">
        <f>AND(#REF!,"AAAAAH4/7mY=")</f>
        <v>#REF!</v>
      </c>
      <c r="CZ89" s="34" t="e">
        <f>AND(#REF!,"AAAAAH4/7mc=")</f>
        <v>#REF!</v>
      </c>
      <c r="DA89" s="34" t="e">
        <f>AND(#REF!,"AAAAAH4/7mg=")</f>
        <v>#REF!</v>
      </c>
      <c r="DB89" s="34" t="e">
        <f>AND(#REF!,"AAAAAH4/7mk=")</f>
        <v>#REF!</v>
      </c>
      <c r="DC89" s="34" t="e">
        <f>AND(#REF!,"AAAAAH4/7mo=")</f>
        <v>#REF!</v>
      </c>
      <c r="DD89" s="34" t="e">
        <f>AND(#REF!,"AAAAAH4/7ms=")</f>
        <v>#REF!</v>
      </c>
      <c r="DE89" s="34" t="e">
        <f>AND(#REF!,"AAAAAH4/7mw=")</f>
        <v>#REF!</v>
      </c>
      <c r="DF89" s="34" t="e">
        <f>IF(#REF!,"AAAAAH4/7m0=",0)</f>
        <v>#REF!</v>
      </c>
      <c r="DG89" s="34" t="e">
        <f>AND(#REF!,"AAAAAH4/7m4=")</f>
        <v>#REF!</v>
      </c>
      <c r="DH89" s="34" t="e">
        <f>AND(#REF!,"AAAAAH4/7m8=")</f>
        <v>#REF!</v>
      </c>
      <c r="DI89" s="34" t="e">
        <f>AND(#REF!,"AAAAAH4/7nA=")</f>
        <v>#REF!</v>
      </c>
      <c r="DJ89" s="34" t="e">
        <f>AND(#REF!,"AAAAAH4/7nE=")</f>
        <v>#REF!</v>
      </c>
      <c r="DK89" s="34" t="e">
        <f>AND(#REF!,"AAAAAH4/7nI=")</f>
        <v>#REF!</v>
      </c>
      <c r="DL89" s="34" t="e">
        <f>AND(#REF!,"AAAAAH4/7nM=")</f>
        <v>#REF!</v>
      </c>
      <c r="DM89" s="34" t="e">
        <f>AND(#REF!,"AAAAAH4/7nQ=")</f>
        <v>#REF!</v>
      </c>
      <c r="DN89" s="34" t="e">
        <f>AND(#REF!,"AAAAAH4/7nU=")</f>
        <v>#REF!</v>
      </c>
      <c r="DO89" s="34" t="e">
        <f>AND(#REF!,"AAAAAH4/7nY=")</f>
        <v>#REF!</v>
      </c>
      <c r="DP89" s="34" t="e">
        <f>AND(#REF!,"AAAAAH4/7nc=")</f>
        <v>#REF!</v>
      </c>
      <c r="DQ89" s="34" t="e">
        <f>AND(#REF!,"AAAAAH4/7ng=")</f>
        <v>#REF!</v>
      </c>
      <c r="DR89" s="34" t="e">
        <f>AND(#REF!,"AAAAAH4/7nk=")</f>
        <v>#REF!</v>
      </c>
      <c r="DS89" s="34" t="e">
        <f>AND(#REF!,"AAAAAH4/7no=")</f>
        <v>#REF!</v>
      </c>
      <c r="DT89" s="34" t="e">
        <f>AND(#REF!,"AAAAAH4/7ns=")</f>
        <v>#REF!</v>
      </c>
      <c r="DU89" s="34" t="e">
        <f>AND(#REF!,"AAAAAH4/7nw=")</f>
        <v>#REF!</v>
      </c>
      <c r="DV89" s="34" t="e">
        <f>AND(#REF!,"AAAAAH4/7n0=")</f>
        <v>#REF!</v>
      </c>
      <c r="DW89" s="34" t="e">
        <f>IF(#REF!,"AAAAAH4/7n4=",0)</f>
        <v>#REF!</v>
      </c>
      <c r="DX89" s="34" t="e">
        <f>AND(#REF!,"AAAAAH4/7n8=")</f>
        <v>#REF!</v>
      </c>
      <c r="DY89" s="34" t="e">
        <f>AND(#REF!,"AAAAAH4/7oA=")</f>
        <v>#REF!</v>
      </c>
      <c r="DZ89" s="34" t="e">
        <f>AND(#REF!,"AAAAAH4/7oE=")</f>
        <v>#REF!</v>
      </c>
      <c r="EA89" s="34" t="e">
        <f>AND(#REF!,"AAAAAH4/7oI=")</f>
        <v>#REF!</v>
      </c>
      <c r="EB89" s="34" t="e">
        <f>AND(#REF!,"AAAAAH4/7oM=")</f>
        <v>#REF!</v>
      </c>
      <c r="EC89" s="34" t="e">
        <f>AND(#REF!,"AAAAAH4/7oQ=")</f>
        <v>#REF!</v>
      </c>
      <c r="ED89" s="34" t="e">
        <f>AND(#REF!,"AAAAAH4/7oU=")</f>
        <v>#REF!</v>
      </c>
      <c r="EE89" s="34" t="e">
        <f>AND(#REF!,"AAAAAH4/7oY=")</f>
        <v>#REF!</v>
      </c>
      <c r="EF89" s="34" t="e">
        <f>AND(#REF!,"AAAAAH4/7oc=")</f>
        <v>#REF!</v>
      </c>
      <c r="EG89" s="34" t="e">
        <f>AND(#REF!,"AAAAAH4/7og=")</f>
        <v>#REF!</v>
      </c>
      <c r="EH89" s="34" t="e">
        <f>AND(#REF!,"AAAAAH4/7ok=")</f>
        <v>#REF!</v>
      </c>
      <c r="EI89" s="34" t="e">
        <f>AND(#REF!,"AAAAAH4/7oo=")</f>
        <v>#REF!</v>
      </c>
      <c r="EJ89" s="34" t="e">
        <f>AND(#REF!,"AAAAAH4/7os=")</f>
        <v>#REF!</v>
      </c>
      <c r="EK89" s="34" t="e">
        <f>AND(#REF!,"AAAAAH4/7ow=")</f>
        <v>#REF!</v>
      </c>
      <c r="EL89" s="34" t="e">
        <f>AND(#REF!,"AAAAAH4/7o0=")</f>
        <v>#REF!</v>
      </c>
      <c r="EM89" s="34" t="e">
        <f>AND(#REF!,"AAAAAH4/7o4=")</f>
        <v>#REF!</v>
      </c>
      <c r="EN89" s="34" t="e">
        <f>IF(#REF!,"AAAAAH4/7o8=",0)</f>
        <v>#REF!</v>
      </c>
      <c r="EO89" s="34" t="e">
        <f>AND(#REF!,"AAAAAH4/7pA=")</f>
        <v>#REF!</v>
      </c>
      <c r="EP89" s="34" t="e">
        <f>AND(#REF!,"AAAAAH4/7pE=")</f>
        <v>#REF!</v>
      </c>
      <c r="EQ89" s="34" t="e">
        <f>AND(#REF!,"AAAAAH4/7pI=")</f>
        <v>#REF!</v>
      </c>
      <c r="ER89" s="34" t="e">
        <f>AND(#REF!,"AAAAAH4/7pM=")</f>
        <v>#REF!</v>
      </c>
      <c r="ES89" s="34" t="e">
        <f>AND(#REF!,"AAAAAH4/7pQ=")</f>
        <v>#REF!</v>
      </c>
      <c r="ET89" s="34" t="e">
        <f>AND(#REF!,"AAAAAH4/7pU=")</f>
        <v>#REF!</v>
      </c>
      <c r="EU89" s="34" t="e">
        <f>AND(#REF!,"AAAAAH4/7pY=")</f>
        <v>#REF!</v>
      </c>
      <c r="EV89" s="34" t="e">
        <f>AND(#REF!,"AAAAAH4/7pc=")</f>
        <v>#REF!</v>
      </c>
      <c r="EW89" s="34" t="e">
        <f>AND(#REF!,"AAAAAH4/7pg=")</f>
        <v>#REF!</v>
      </c>
      <c r="EX89" s="34" t="e">
        <f>AND(#REF!,"AAAAAH4/7pk=")</f>
        <v>#REF!</v>
      </c>
      <c r="EY89" s="34" t="e">
        <f>AND(#REF!,"AAAAAH4/7po=")</f>
        <v>#REF!</v>
      </c>
      <c r="EZ89" s="34" t="e">
        <f>AND(#REF!,"AAAAAH4/7ps=")</f>
        <v>#REF!</v>
      </c>
      <c r="FA89" s="34" t="e">
        <f>AND(#REF!,"AAAAAH4/7pw=")</f>
        <v>#REF!</v>
      </c>
      <c r="FB89" s="34" t="e">
        <f>AND(#REF!,"AAAAAH4/7p0=")</f>
        <v>#REF!</v>
      </c>
      <c r="FC89" s="34" t="e">
        <f>AND(#REF!,"AAAAAH4/7p4=")</f>
        <v>#REF!</v>
      </c>
      <c r="FD89" s="34" t="e">
        <f>AND(#REF!,"AAAAAH4/7p8=")</f>
        <v>#REF!</v>
      </c>
      <c r="FE89" s="34" t="e">
        <f>IF(#REF!,"AAAAAH4/7qA=",0)</f>
        <v>#REF!</v>
      </c>
      <c r="FF89" s="34" t="e">
        <f>AND(#REF!,"AAAAAH4/7qE=")</f>
        <v>#REF!</v>
      </c>
      <c r="FG89" s="34" t="e">
        <f>AND(#REF!,"AAAAAH4/7qI=")</f>
        <v>#REF!</v>
      </c>
      <c r="FH89" s="34" t="e">
        <f>AND(#REF!,"AAAAAH4/7qM=")</f>
        <v>#REF!</v>
      </c>
      <c r="FI89" s="34" t="e">
        <f>AND(#REF!,"AAAAAH4/7qQ=")</f>
        <v>#REF!</v>
      </c>
      <c r="FJ89" s="34" t="e">
        <f>AND(#REF!,"AAAAAH4/7qU=")</f>
        <v>#REF!</v>
      </c>
      <c r="FK89" s="34" t="e">
        <f>AND(#REF!,"AAAAAH4/7qY=")</f>
        <v>#REF!</v>
      </c>
      <c r="FL89" s="34" t="e">
        <f>AND(#REF!,"AAAAAH4/7qc=")</f>
        <v>#REF!</v>
      </c>
      <c r="FM89" s="34" t="e">
        <f>AND(#REF!,"AAAAAH4/7qg=")</f>
        <v>#REF!</v>
      </c>
      <c r="FN89" s="34" t="e">
        <f>AND(#REF!,"AAAAAH4/7qk=")</f>
        <v>#REF!</v>
      </c>
      <c r="FO89" s="34" t="e">
        <f>AND(#REF!,"AAAAAH4/7qo=")</f>
        <v>#REF!</v>
      </c>
      <c r="FP89" s="34" t="e">
        <f>AND(#REF!,"AAAAAH4/7qs=")</f>
        <v>#REF!</v>
      </c>
      <c r="FQ89" s="34" t="e">
        <f>AND(#REF!,"AAAAAH4/7qw=")</f>
        <v>#REF!</v>
      </c>
      <c r="FR89" s="34" t="e">
        <f>AND(#REF!,"AAAAAH4/7q0=")</f>
        <v>#REF!</v>
      </c>
      <c r="FS89" s="34" t="e">
        <f>AND(#REF!,"AAAAAH4/7q4=")</f>
        <v>#REF!</v>
      </c>
      <c r="FT89" s="34" t="e">
        <f>AND(#REF!,"AAAAAH4/7q8=")</f>
        <v>#REF!</v>
      </c>
      <c r="FU89" s="34" t="e">
        <f>AND(#REF!,"AAAAAH4/7rA=")</f>
        <v>#REF!</v>
      </c>
      <c r="FV89" s="34" t="e">
        <f>IF(#REF!,"AAAAAH4/7rE=",0)</f>
        <v>#REF!</v>
      </c>
      <c r="FW89" s="34" t="e">
        <f>AND(#REF!,"AAAAAH4/7rI=")</f>
        <v>#REF!</v>
      </c>
      <c r="FX89" s="34" t="e">
        <f>AND(#REF!,"AAAAAH4/7rM=")</f>
        <v>#REF!</v>
      </c>
      <c r="FY89" s="34" t="e">
        <f>AND(#REF!,"AAAAAH4/7rQ=")</f>
        <v>#REF!</v>
      </c>
      <c r="FZ89" s="34" t="e">
        <f>AND(#REF!,"AAAAAH4/7rU=")</f>
        <v>#REF!</v>
      </c>
      <c r="GA89" s="34" t="e">
        <f>AND(#REF!,"AAAAAH4/7rY=")</f>
        <v>#REF!</v>
      </c>
      <c r="GB89" s="34" t="e">
        <f>AND(#REF!,"AAAAAH4/7rc=")</f>
        <v>#REF!</v>
      </c>
      <c r="GC89" s="34" t="e">
        <f>AND(#REF!,"AAAAAH4/7rg=")</f>
        <v>#REF!</v>
      </c>
      <c r="GD89" s="34" t="e">
        <f>AND(#REF!,"AAAAAH4/7rk=")</f>
        <v>#REF!</v>
      </c>
      <c r="GE89" s="34" t="e">
        <f>AND(#REF!,"AAAAAH4/7ro=")</f>
        <v>#REF!</v>
      </c>
      <c r="GF89" s="34" t="e">
        <f>AND(#REF!,"AAAAAH4/7rs=")</f>
        <v>#REF!</v>
      </c>
      <c r="GG89" s="34" t="e">
        <f>AND(#REF!,"AAAAAH4/7rw=")</f>
        <v>#REF!</v>
      </c>
      <c r="GH89" s="34" t="e">
        <f>AND(#REF!,"AAAAAH4/7r0=")</f>
        <v>#REF!</v>
      </c>
      <c r="GI89" s="34" t="e">
        <f>AND(#REF!,"AAAAAH4/7r4=")</f>
        <v>#REF!</v>
      </c>
      <c r="GJ89" s="34" t="e">
        <f>AND(#REF!,"AAAAAH4/7r8=")</f>
        <v>#REF!</v>
      </c>
      <c r="GK89" s="34" t="e">
        <f>AND(#REF!,"AAAAAH4/7sA=")</f>
        <v>#REF!</v>
      </c>
      <c r="GL89" s="34" t="e">
        <f>AND(#REF!,"AAAAAH4/7sE=")</f>
        <v>#REF!</v>
      </c>
      <c r="GM89" s="34" t="e">
        <f>IF(#REF!,"AAAAAH4/7sI=",0)</f>
        <v>#REF!</v>
      </c>
      <c r="GN89" s="34" t="e">
        <f>AND(#REF!,"AAAAAH4/7sM=")</f>
        <v>#REF!</v>
      </c>
      <c r="GO89" s="34" t="e">
        <f>AND(#REF!,"AAAAAH4/7sQ=")</f>
        <v>#REF!</v>
      </c>
      <c r="GP89" s="34" t="e">
        <f>AND(#REF!,"AAAAAH4/7sU=")</f>
        <v>#REF!</v>
      </c>
      <c r="GQ89" s="34" t="e">
        <f>AND(#REF!,"AAAAAH4/7sY=")</f>
        <v>#REF!</v>
      </c>
      <c r="GR89" s="34" t="e">
        <f>AND(#REF!,"AAAAAH4/7sc=")</f>
        <v>#REF!</v>
      </c>
      <c r="GS89" s="34" t="e">
        <f>AND(#REF!,"AAAAAH4/7sg=")</f>
        <v>#REF!</v>
      </c>
      <c r="GT89" s="34" t="e">
        <f>AND(#REF!,"AAAAAH4/7sk=")</f>
        <v>#REF!</v>
      </c>
      <c r="GU89" s="34" t="e">
        <f>AND(#REF!,"AAAAAH4/7so=")</f>
        <v>#REF!</v>
      </c>
      <c r="GV89" s="34" t="e">
        <f>AND(#REF!,"AAAAAH4/7ss=")</f>
        <v>#REF!</v>
      </c>
      <c r="GW89" s="34" t="e">
        <f>AND(#REF!,"AAAAAH4/7sw=")</f>
        <v>#REF!</v>
      </c>
      <c r="GX89" s="34" t="e">
        <f>AND(#REF!,"AAAAAH4/7s0=")</f>
        <v>#REF!</v>
      </c>
      <c r="GY89" s="34" t="e">
        <f>AND(#REF!,"AAAAAH4/7s4=")</f>
        <v>#REF!</v>
      </c>
      <c r="GZ89" s="34" t="e">
        <f>AND(#REF!,"AAAAAH4/7s8=")</f>
        <v>#REF!</v>
      </c>
      <c r="HA89" s="34" t="e">
        <f>AND(#REF!,"AAAAAH4/7tA=")</f>
        <v>#REF!</v>
      </c>
      <c r="HB89" s="34" t="e">
        <f>AND(#REF!,"AAAAAH4/7tE=")</f>
        <v>#REF!</v>
      </c>
      <c r="HC89" s="34" t="e">
        <f>AND(#REF!,"AAAAAH4/7tI=")</f>
        <v>#REF!</v>
      </c>
      <c r="HD89" s="34" t="e">
        <f>IF(#REF!,"AAAAAH4/7tM=",0)</f>
        <v>#REF!</v>
      </c>
      <c r="HE89" s="34" t="e">
        <f>AND(#REF!,"AAAAAH4/7tQ=")</f>
        <v>#REF!</v>
      </c>
      <c r="HF89" s="34" t="e">
        <f>AND(#REF!,"AAAAAH4/7tU=")</f>
        <v>#REF!</v>
      </c>
      <c r="HG89" s="34" t="e">
        <f>AND(#REF!,"AAAAAH4/7tY=")</f>
        <v>#REF!</v>
      </c>
      <c r="HH89" s="34" t="e">
        <f>AND(#REF!,"AAAAAH4/7tc=")</f>
        <v>#REF!</v>
      </c>
      <c r="HI89" s="34" t="e">
        <f>AND(#REF!,"AAAAAH4/7tg=")</f>
        <v>#REF!</v>
      </c>
      <c r="HJ89" s="34" t="e">
        <f>AND(#REF!,"AAAAAH4/7tk=")</f>
        <v>#REF!</v>
      </c>
      <c r="HK89" s="34" t="e">
        <f>AND(#REF!,"AAAAAH4/7to=")</f>
        <v>#REF!</v>
      </c>
      <c r="HL89" s="34" t="e">
        <f>AND(#REF!,"AAAAAH4/7ts=")</f>
        <v>#REF!</v>
      </c>
      <c r="HM89" s="34" t="e">
        <f>AND(#REF!,"AAAAAH4/7tw=")</f>
        <v>#REF!</v>
      </c>
      <c r="HN89" s="34" t="e">
        <f>AND(#REF!,"AAAAAH4/7t0=")</f>
        <v>#REF!</v>
      </c>
      <c r="HO89" s="34" t="e">
        <f>AND(#REF!,"AAAAAH4/7t4=")</f>
        <v>#REF!</v>
      </c>
      <c r="HP89" s="34" t="e">
        <f>AND(#REF!,"AAAAAH4/7t8=")</f>
        <v>#REF!</v>
      </c>
      <c r="HQ89" s="34" t="e">
        <f>AND(#REF!,"AAAAAH4/7uA=")</f>
        <v>#REF!</v>
      </c>
      <c r="HR89" s="34" t="e">
        <f>AND(#REF!,"AAAAAH4/7uE=")</f>
        <v>#REF!</v>
      </c>
      <c r="HS89" s="34" t="e">
        <f>AND(#REF!,"AAAAAH4/7uI=")</f>
        <v>#REF!</v>
      </c>
      <c r="HT89" s="34" t="e">
        <f>AND(#REF!,"AAAAAH4/7uM=")</f>
        <v>#REF!</v>
      </c>
      <c r="HU89" s="34" t="e">
        <f>IF(#REF!,"AAAAAH4/7uQ=",0)</f>
        <v>#REF!</v>
      </c>
      <c r="HV89" s="34" t="e">
        <f>AND(#REF!,"AAAAAH4/7uU=")</f>
        <v>#REF!</v>
      </c>
      <c r="HW89" s="34" t="e">
        <f>AND(#REF!,"AAAAAH4/7uY=")</f>
        <v>#REF!</v>
      </c>
      <c r="HX89" s="34" t="e">
        <f>AND(#REF!,"AAAAAH4/7uc=")</f>
        <v>#REF!</v>
      </c>
      <c r="HY89" s="34" t="e">
        <f>AND(#REF!,"AAAAAH4/7ug=")</f>
        <v>#REF!</v>
      </c>
      <c r="HZ89" s="34" t="e">
        <f>AND(#REF!,"AAAAAH4/7uk=")</f>
        <v>#REF!</v>
      </c>
      <c r="IA89" s="34" t="e">
        <f>AND(#REF!,"AAAAAH4/7uo=")</f>
        <v>#REF!</v>
      </c>
      <c r="IB89" s="34" t="e">
        <f>AND(#REF!,"AAAAAH4/7us=")</f>
        <v>#REF!</v>
      </c>
      <c r="IC89" s="34" t="e">
        <f>AND(#REF!,"AAAAAH4/7uw=")</f>
        <v>#REF!</v>
      </c>
      <c r="ID89" s="34" t="e">
        <f>AND(#REF!,"AAAAAH4/7u0=")</f>
        <v>#REF!</v>
      </c>
      <c r="IE89" s="34" t="e">
        <f>AND(#REF!,"AAAAAH4/7u4=")</f>
        <v>#REF!</v>
      </c>
      <c r="IF89" s="34" t="e">
        <f>AND(#REF!,"AAAAAH4/7u8=")</f>
        <v>#REF!</v>
      </c>
      <c r="IG89" s="34" t="e">
        <f>AND(#REF!,"AAAAAH4/7vA=")</f>
        <v>#REF!</v>
      </c>
      <c r="IH89" s="34" t="e">
        <f>AND(#REF!,"AAAAAH4/7vE=")</f>
        <v>#REF!</v>
      </c>
      <c r="II89" s="34" t="e">
        <f>AND(#REF!,"AAAAAH4/7vI=")</f>
        <v>#REF!</v>
      </c>
      <c r="IJ89" s="34" t="e">
        <f>AND(#REF!,"AAAAAH4/7vM=")</f>
        <v>#REF!</v>
      </c>
      <c r="IK89" s="34" t="e">
        <f>AND(#REF!,"AAAAAH4/7vQ=")</f>
        <v>#REF!</v>
      </c>
      <c r="IL89" s="34" t="e">
        <f>IF(#REF!,"AAAAAH4/7vU=",0)</f>
        <v>#REF!</v>
      </c>
      <c r="IM89" s="34" t="e">
        <f>AND(#REF!,"AAAAAH4/7vY=")</f>
        <v>#REF!</v>
      </c>
      <c r="IN89" s="34" t="e">
        <f>AND(#REF!,"AAAAAH4/7vc=")</f>
        <v>#REF!</v>
      </c>
      <c r="IO89" s="34" t="e">
        <f>AND(#REF!,"AAAAAH4/7vg=")</f>
        <v>#REF!</v>
      </c>
      <c r="IP89" s="34" t="e">
        <f>AND(#REF!,"AAAAAH4/7vk=")</f>
        <v>#REF!</v>
      </c>
      <c r="IQ89" s="34" t="e">
        <f>AND(#REF!,"AAAAAH4/7vo=")</f>
        <v>#REF!</v>
      </c>
      <c r="IR89" s="34" t="e">
        <f>AND(#REF!,"AAAAAH4/7vs=")</f>
        <v>#REF!</v>
      </c>
      <c r="IS89" s="34" t="e">
        <f>AND(#REF!,"AAAAAH4/7vw=")</f>
        <v>#REF!</v>
      </c>
      <c r="IT89" s="34" t="e">
        <f>AND(#REF!,"AAAAAH4/7v0=")</f>
        <v>#REF!</v>
      </c>
      <c r="IU89" s="34" t="e">
        <f>AND(#REF!,"AAAAAH4/7v4=")</f>
        <v>#REF!</v>
      </c>
      <c r="IV89" s="34" t="e">
        <f>AND(#REF!,"AAAAAH4/7v8=")</f>
        <v>#REF!</v>
      </c>
    </row>
    <row r="90" spans="1:256" ht="12.75" customHeight="1" x14ac:dyDescent="0.2">
      <c r="A90" s="34" t="e">
        <f>AND(#REF!,"AAAAAH/f/wA=")</f>
        <v>#REF!</v>
      </c>
      <c r="B90" s="34" t="e">
        <f>AND(#REF!,"AAAAAH/f/wE=")</f>
        <v>#REF!</v>
      </c>
      <c r="C90" s="34" t="e">
        <f>AND(#REF!,"AAAAAH/f/wI=")</f>
        <v>#REF!</v>
      </c>
      <c r="D90" s="34" t="e">
        <f>AND(#REF!,"AAAAAH/f/wM=")</f>
        <v>#REF!</v>
      </c>
      <c r="E90" s="34" t="e">
        <f>AND(#REF!,"AAAAAH/f/wQ=")</f>
        <v>#REF!</v>
      </c>
      <c r="F90" s="34" t="e">
        <f>AND(#REF!,"AAAAAH/f/wU=")</f>
        <v>#REF!</v>
      </c>
      <c r="G90" s="34" t="e">
        <f>IF(#REF!,"AAAAAH/f/wY=",0)</f>
        <v>#REF!</v>
      </c>
      <c r="H90" s="34" t="e">
        <f>AND(#REF!,"AAAAAH/f/wc=")</f>
        <v>#REF!</v>
      </c>
      <c r="I90" s="34" t="e">
        <f>AND(#REF!,"AAAAAH/f/wg=")</f>
        <v>#REF!</v>
      </c>
      <c r="J90" s="34" t="e">
        <f>AND(#REF!,"AAAAAH/f/wk=")</f>
        <v>#REF!</v>
      </c>
      <c r="K90" s="34" t="e">
        <f>AND(#REF!,"AAAAAH/f/wo=")</f>
        <v>#REF!</v>
      </c>
      <c r="L90" s="34" t="e">
        <f>AND(#REF!,"AAAAAH/f/ws=")</f>
        <v>#REF!</v>
      </c>
      <c r="M90" s="34" t="e">
        <f>AND(#REF!,"AAAAAH/f/ww=")</f>
        <v>#REF!</v>
      </c>
      <c r="N90" s="34" t="e">
        <f>AND(#REF!,"AAAAAH/f/w0=")</f>
        <v>#REF!</v>
      </c>
      <c r="O90" s="34" t="e">
        <f>AND(#REF!,"AAAAAH/f/w4=")</f>
        <v>#REF!</v>
      </c>
      <c r="P90" s="34" t="e">
        <f>AND(#REF!,"AAAAAH/f/w8=")</f>
        <v>#REF!</v>
      </c>
      <c r="Q90" s="34" t="e">
        <f>AND(#REF!,"AAAAAH/f/xA=")</f>
        <v>#REF!</v>
      </c>
      <c r="R90" s="34" t="e">
        <f>AND(#REF!,"AAAAAH/f/xE=")</f>
        <v>#REF!</v>
      </c>
      <c r="S90" s="34" t="e">
        <f>AND(#REF!,"AAAAAH/f/xI=")</f>
        <v>#REF!</v>
      </c>
      <c r="T90" s="34" t="e">
        <f>AND(#REF!,"AAAAAH/f/xM=")</f>
        <v>#REF!</v>
      </c>
      <c r="U90" s="34" t="e">
        <f>AND(#REF!,"AAAAAH/f/xQ=")</f>
        <v>#REF!</v>
      </c>
      <c r="V90" s="34" t="e">
        <f>AND(#REF!,"AAAAAH/f/xU=")</f>
        <v>#REF!</v>
      </c>
      <c r="W90" s="34" t="e">
        <f>AND(#REF!,"AAAAAH/f/xY=")</f>
        <v>#REF!</v>
      </c>
      <c r="X90" s="34" t="e">
        <f>IF(#REF!,"AAAAAH/f/xc=",0)</f>
        <v>#REF!</v>
      </c>
      <c r="Y90" s="34" t="e">
        <f>AND(#REF!,"AAAAAH/f/xg=")</f>
        <v>#REF!</v>
      </c>
      <c r="Z90" s="34" t="e">
        <f>AND(#REF!,"AAAAAH/f/xk=")</f>
        <v>#REF!</v>
      </c>
      <c r="AA90" s="34" t="e">
        <f>AND(#REF!,"AAAAAH/f/xo=")</f>
        <v>#REF!</v>
      </c>
      <c r="AB90" s="34" t="e">
        <f>AND(#REF!,"AAAAAH/f/xs=")</f>
        <v>#REF!</v>
      </c>
      <c r="AC90" s="34" t="e">
        <f>AND(#REF!,"AAAAAH/f/xw=")</f>
        <v>#REF!</v>
      </c>
      <c r="AD90" s="34" t="e">
        <f>AND(#REF!,"AAAAAH/f/x0=")</f>
        <v>#REF!</v>
      </c>
      <c r="AE90" s="34" t="e">
        <f>AND(#REF!,"AAAAAH/f/x4=")</f>
        <v>#REF!</v>
      </c>
      <c r="AF90" s="34" t="e">
        <f>AND(#REF!,"AAAAAH/f/x8=")</f>
        <v>#REF!</v>
      </c>
      <c r="AG90" s="34" t="e">
        <f>AND(#REF!,"AAAAAH/f/yA=")</f>
        <v>#REF!</v>
      </c>
      <c r="AH90" s="34" t="e">
        <f>AND(#REF!,"AAAAAH/f/yE=")</f>
        <v>#REF!</v>
      </c>
      <c r="AI90" s="34" t="e">
        <f>AND(#REF!,"AAAAAH/f/yI=")</f>
        <v>#REF!</v>
      </c>
      <c r="AJ90" s="34" t="e">
        <f>AND(#REF!,"AAAAAH/f/yM=")</f>
        <v>#REF!</v>
      </c>
      <c r="AK90" s="34" t="e">
        <f>AND(#REF!,"AAAAAH/f/yQ=")</f>
        <v>#REF!</v>
      </c>
      <c r="AL90" s="34" t="e">
        <f>AND(#REF!,"AAAAAH/f/yU=")</f>
        <v>#REF!</v>
      </c>
      <c r="AM90" s="34" t="e">
        <f>AND(#REF!,"AAAAAH/f/yY=")</f>
        <v>#REF!</v>
      </c>
      <c r="AN90" s="34" t="e">
        <f>AND(#REF!,"AAAAAH/f/yc=")</f>
        <v>#REF!</v>
      </c>
      <c r="AO90" s="34" t="e">
        <f>IF(#REF!,"AAAAAH/f/yg=",0)</f>
        <v>#REF!</v>
      </c>
      <c r="AP90" s="34" t="e">
        <f>AND(#REF!,"AAAAAH/f/yk=")</f>
        <v>#REF!</v>
      </c>
      <c r="AQ90" s="34" t="e">
        <f>AND(#REF!,"AAAAAH/f/yo=")</f>
        <v>#REF!</v>
      </c>
      <c r="AR90" s="34" t="e">
        <f>AND(#REF!,"AAAAAH/f/ys=")</f>
        <v>#REF!</v>
      </c>
      <c r="AS90" s="34" t="e">
        <f>AND(#REF!,"AAAAAH/f/yw=")</f>
        <v>#REF!</v>
      </c>
      <c r="AT90" s="34" t="e">
        <f>AND(#REF!,"AAAAAH/f/y0=")</f>
        <v>#REF!</v>
      </c>
      <c r="AU90" s="34" t="e">
        <f>AND(#REF!,"AAAAAH/f/y4=")</f>
        <v>#REF!</v>
      </c>
      <c r="AV90" s="34" t="e">
        <f>AND(#REF!,"AAAAAH/f/y8=")</f>
        <v>#REF!</v>
      </c>
      <c r="AW90" s="34" t="e">
        <f>AND(#REF!,"AAAAAH/f/zA=")</f>
        <v>#REF!</v>
      </c>
      <c r="AX90" s="34" t="e">
        <f>AND(#REF!,"AAAAAH/f/zE=")</f>
        <v>#REF!</v>
      </c>
      <c r="AY90" s="34" t="e">
        <f>AND(#REF!,"AAAAAH/f/zI=")</f>
        <v>#REF!</v>
      </c>
      <c r="AZ90" s="34" t="e">
        <f>AND(#REF!,"AAAAAH/f/zM=")</f>
        <v>#REF!</v>
      </c>
      <c r="BA90" s="34" t="e">
        <f>AND(#REF!,"AAAAAH/f/zQ=")</f>
        <v>#REF!</v>
      </c>
      <c r="BB90" s="34" t="e">
        <f>AND(#REF!,"AAAAAH/f/zU=")</f>
        <v>#REF!</v>
      </c>
      <c r="BC90" s="34" t="e">
        <f>AND(#REF!,"AAAAAH/f/zY=")</f>
        <v>#REF!</v>
      </c>
      <c r="BD90" s="34" t="e">
        <f>AND(#REF!,"AAAAAH/f/zc=")</f>
        <v>#REF!</v>
      </c>
      <c r="BE90" s="34" t="e">
        <f>AND(#REF!,"AAAAAH/f/zg=")</f>
        <v>#REF!</v>
      </c>
      <c r="BF90" s="34" t="e">
        <f>IF(#REF!,"AAAAAH/f/zk=",0)</f>
        <v>#REF!</v>
      </c>
      <c r="BG90" s="34" t="e">
        <f>AND(#REF!,"AAAAAH/f/zo=")</f>
        <v>#REF!</v>
      </c>
      <c r="BH90" s="34" t="e">
        <f>AND(#REF!,"AAAAAH/f/zs=")</f>
        <v>#REF!</v>
      </c>
      <c r="BI90" s="34" t="e">
        <f>AND(#REF!,"AAAAAH/f/zw=")</f>
        <v>#REF!</v>
      </c>
      <c r="BJ90" s="34" t="e">
        <f>AND(#REF!,"AAAAAH/f/z0=")</f>
        <v>#REF!</v>
      </c>
      <c r="BK90" s="34" t="e">
        <f>AND(#REF!,"AAAAAH/f/z4=")</f>
        <v>#REF!</v>
      </c>
      <c r="BL90" s="34" t="e">
        <f>AND(#REF!,"AAAAAH/f/z8=")</f>
        <v>#REF!</v>
      </c>
      <c r="BM90" s="34" t="e">
        <f>AND(#REF!,"AAAAAH/f/0A=")</f>
        <v>#REF!</v>
      </c>
      <c r="BN90" s="34" t="e">
        <f>AND(#REF!,"AAAAAH/f/0E=")</f>
        <v>#REF!</v>
      </c>
      <c r="BO90" s="34" t="e">
        <f>AND(#REF!,"AAAAAH/f/0I=")</f>
        <v>#REF!</v>
      </c>
      <c r="BP90" s="34" t="e">
        <f>AND(#REF!,"AAAAAH/f/0M=")</f>
        <v>#REF!</v>
      </c>
      <c r="BQ90" s="34" t="e">
        <f>AND(#REF!,"AAAAAH/f/0Q=")</f>
        <v>#REF!</v>
      </c>
      <c r="BR90" s="34" t="e">
        <f>AND(#REF!,"AAAAAH/f/0U=")</f>
        <v>#REF!</v>
      </c>
      <c r="BS90" s="34" t="e">
        <f>AND(#REF!,"AAAAAH/f/0Y=")</f>
        <v>#REF!</v>
      </c>
      <c r="BT90" s="34" t="e">
        <f>AND(#REF!,"AAAAAH/f/0c=")</f>
        <v>#REF!</v>
      </c>
      <c r="BU90" s="34" t="e">
        <f>AND(#REF!,"AAAAAH/f/0g=")</f>
        <v>#REF!</v>
      </c>
      <c r="BV90" s="34" t="e">
        <f>AND(#REF!,"AAAAAH/f/0k=")</f>
        <v>#REF!</v>
      </c>
      <c r="BW90" s="34" t="e">
        <f>IF(#REF!,"AAAAAH/f/0o=",0)</f>
        <v>#REF!</v>
      </c>
      <c r="BX90" s="34" t="e">
        <f>AND(#REF!,"AAAAAH/f/0s=")</f>
        <v>#REF!</v>
      </c>
      <c r="BY90" s="34" t="e">
        <f>AND(#REF!,"AAAAAH/f/0w=")</f>
        <v>#REF!</v>
      </c>
      <c r="BZ90" s="34" t="e">
        <f>AND(#REF!,"AAAAAH/f/00=")</f>
        <v>#REF!</v>
      </c>
      <c r="CA90" s="34" t="e">
        <f>AND(#REF!,"AAAAAH/f/04=")</f>
        <v>#REF!</v>
      </c>
      <c r="CB90" s="34" t="e">
        <f>AND(#REF!,"AAAAAH/f/08=")</f>
        <v>#REF!</v>
      </c>
      <c r="CC90" s="34" t="e">
        <f>AND(#REF!,"AAAAAH/f/1A=")</f>
        <v>#REF!</v>
      </c>
      <c r="CD90" s="34" t="e">
        <f>AND(#REF!,"AAAAAH/f/1E=")</f>
        <v>#REF!</v>
      </c>
      <c r="CE90" s="34" t="e">
        <f>AND(#REF!,"AAAAAH/f/1I=")</f>
        <v>#REF!</v>
      </c>
      <c r="CF90" s="34" t="e">
        <f>AND(#REF!,"AAAAAH/f/1M=")</f>
        <v>#REF!</v>
      </c>
      <c r="CG90" s="34" t="e">
        <f>AND(#REF!,"AAAAAH/f/1Q=")</f>
        <v>#REF!</v>
      </c>
      <c r="CH90" s="34" t="e">
        <f>AND(#REF!,"AAAAAH/f/1U=")</f>
        <v>#REF!</v>
      </c>
      <c r="CI90" s="34" t="e">
        <f>AND(#REF!,"AAAAAH/f/1Y=")</f>
        <v>#REF!</v>
      </c>
      <c r="CJ90" s="34" t="e">
        <f>AND(#REF!,"AAAAAH/f/1c=")</f>
        <v>#REF!</v>
      </c>
      <c r="CK90" s="34" t="e">
        <f>AND(#REF!,"AAAAAH/f/1g=")</f>
        <v>#REF!</v>
      </c>
      <c r="CL90" s="34" t="e">
        <f>AND(#REF!,"AAAAAH/f/1k=")</f>
        <v>#REF!</v>
      </c>
      <c r="CM90" s="34" t="e">
        <f>AND(#REF!,"AAAAAH/f/1o=")</f>
        <v>#REF!</v>
      </c>
      <c r="CN90" s="34" t="e">
        <f>IF(#REF!,"AAAAAH/f/1s=",0)</f>
        <v>#REF!</v>
      </c>
      <c r="CO90" s="34" t="e">
        <f>AND(#REF!,"AAAAAH/f/1w=")</f>
        <v>#REF!</v>
      </c>
      <c r="CP90" s="34" t="e">
        <f>AND(#REF!,"AAAAAH/f/10=")</f>
        <v>#REF!</v>
      </c>
      <c r="CQ90" s="34" t="e">
        <f>AND(#REF!,"AAAAAH/f/14=")</f>
        <v>#REF!</v>
      </c>
      <c r="CR90" s="34" t="e">
        <f>AND(#REF!,"AAAAAH/f/18=")</f>
        <v>#REF!</v>
      </c>
      <c r="CS90" s="34" t="e">
        <f>AND(#REF!,"AAAAAH/f/2A=")</f>
        <v>#REF!</v>
      </c>
      <c r="CT90" s="34" t="e">
        <f>AND(#REF!,"AAAAAH/f/2E=")</f>
        <v>#REF!</v>
      </c>
      <c r="CU90" s="34" t="e">
        <f>AND(#REF!,"AAAAAH/f/2I=")</f>
        <v>#REF!</v>
      </c>
      <c r="CV90" s="34" t="e">
        <f>AND(#REF!,"AAAAAH/f/2M=")</f>
        <v>#REF!</v>
      </c>
      <c r="CW90" s="34" t="e">
        <f>AND(#REF!,"AAAAAH/f/2Q=")</f>
        <v>#REF!</v>
      </c>
      <c r="CX90" s="34" t="e">
        <f>AND(#REF!,"AAAAAH/f/2U=")</f>
        <v>#REF!</v>
      </c>
      <c r="CY90" s="34" t="e">
        <f>AND(#REF!,"AAAAAH/f/2Y=")</f>
        <v>#REF!</v>
      </c>
      <c r="CZ90" s="34" t="e">
        <f>AND(#REF!,"AAAAAH/f/2c=")</f>
        <v>#REF!</v>
      </c>
      <c r="DA90" s="34" t="e">
        <f>AND(#REF!,"AAAAAH/f/2g=")</f>
        <v>#REF!</v>
      </c>
      <c r="DB90" s="34" t="e">
        <f>AND(#REF!,"AAAAAH/f/2k=")</f>
        <v>#REF!</v>
      </c>
      <c r="DC90" s="34" t="e">
        <f>AND(#REF!,"AAAAAH/f/2o=")</f>
        <v>#REF!</v>
      </c>
      <c r="DD90" s="34" t="e">
        <f>AND(#REF!,"AAAAAH/f/2s=")</f>
        <v>#REF!</v>
      </c>
      <c r="DE90" s="34" t="e">
        <f>IF(#REF!,"AAAAAH/f/2w=",0)</f>
        <v>#REF!</v>
      </c>
      <c r="DF90" s="34" t="e">
        <f>AND(#REF!,"AAAAAH/f/20=")</f>
        <v>#REF!</v>
      </c>
      <c r="DG90" s="34" t="e">
        <f>AND(#REF!,"AAAAAH/f/24=")</f>
        <v>#REF!</v>
      </c>
      <c r="DH90" s="34" t="e">
        <f>AND(#REF!,"AAAAAH/f/28=")</f>
        <v>#REF!</v>
      </c>
      <c r="DI90" s="34" t="e">
        <f>AND(#REF!,"AAAAAH/f/3A=")</f>
        <v>#REF!</v>
      </c>
      <c r="DJ90" s="34" t="e">
        <f>AND(#REF!,"AAAAAH/f/3E=")</f>
        <v>#REF!</v>
      </c>
      <c r="DK90" s="34" t="e">
        <f>AND(#REF!,"AAAAAH/f/3I=")</f>
        <v>#REF!</v>
      </c>
      <c r="DL90" s="34" t="e">
        <f>AND(#REF!,"AAAAAH/f/3M=")</f>
        <v>#REF!</v>
      </c>
      <c r="DM90" s="34" t="e">
        <f>AND(#REF!,"AAAAAH/f/3Q=")</f>
        <v>#REF!</v>
      </c>
      <c r="DN90" s="34" t="e">
        <f>AND(#REF!,"AAAAAH/f/3U=")</f>
        <v>#REF!</v>
      </c>
      <c r="DO90" s="34" t="e">
        <f>AND(#REF!,"AAAAAH/f/3Y=")</f>
        <v>#REF!</v>
      </c>
      <c r="DP90" s="34" t="e">
        <f>AND(#REF!,"AAAAAH/f/3c=")</f>
        <v>#REF!</v>
      </c>
      <c r="DQ90" s="34" t="e">
        <f>AND(#REF!,"AAAAAH/f/3g=")</f>
        <v>#REF!</v>
      </c>
      <c r="DR90" s="34" t="e">
        <f>AND(#REF!,"AAAAAH/f/3k=")</f>
        <v>#REF!</v>
      </c>
      <c r="DS90" s="34" t="e">
        <f>AND(#REF!,"AAAAAH/f/3o=")</f>
        <v>#REF!</v>
      </c>
      <c r="DT90" s="34" t="e">
        <f>AND(#REF!,"AAAAAH/f/3s=")</f>
        <v>#REF!</v>
      </c>
      <c r="DU90" s="34" t="e">
        <f>AND(#REF!,"AAAAAH/f/3w=")</f>
        <v>#REF!</v>
      </c>
      <c r="DV90" s="34" t="e">
        <f>IF(#REF!,"AAAAAH/f/30=",0)</f>
        <v>#REF!</v>
      </c>
      <c r="DW90" s="34" t="e">
        <f>AND(#REF!,"AAAAAH/f/34=")</f>
        <v>#REF!</v>
      </c>
      <c r="DX90" s="34" t="e">
        <f>AND(#REF!,"AAAAAH/f/38=")</f>
        <v>#REF!</v>
      </c>
      <c r="DY90" s="34" t="e">
        <f>AND(#REF!,"AAAAAH/f/4A=")</f>
        <v>#REF!</v>
      </c>
      <c r="DZ90" s="34" t="e">
        <f>AND(#REF!,"AAAAAH/f/4E=")</f>
        <v>#REF!</v>
      </c>
      <c r="EA90" s="34" t="e">
        <f>AND(#REF!,"AAAAAH/f/4I=")</f>
        <v>#REF!</v>
      </c>
      <c r="EB90" s="34" t="e">
        <f>AND(#REF!,"AAAAAH/f/4M=")</f>
        <v>#REF!</v>
      </c>
      <c r="EC90" s="34" t="e">
        <f>AND(#REF!,"AAAAAH/f/4Q=")</f>
        <v>#REF!</v>
      </c>
      <c r="ED90" s="34" t="e">
        <f>AND(#REF!,"AAAAAH/f/4U=")</f>
        <v>#REF!</v>
      </c>
      <c r="EE90" s="34" t="e">
        <f>AND(#REF!,"AAAAAH/f/4Y=")</f>
        <v>#REF!</v>
      </c>
      <c r="EF90" s="34" t="e">
        <f>AND(#REF!,"AAAAAH/f/4c=")</f>
        <v>#REF!</v>
      </c>
      <c r="EG90" s="34" t="e">
        <f>AND(#REF!,"AAAAAH/f/4g=")</f>
        <v>#REF!</v>
      </c>
      <c r="EH90" s="34" t="e">
        <f>AND(#REF!,"AAAAAH/f/4k=")</f>
        <v>#REF!</v>
      </c>
      <c r="EI90" s="34" t="e">
        <f>AND(#REF!,"AAAAAH/f/4o=")</f>
        <v>#REF!</v>
      </c>
      <c r="EJ90" s="34" t="e">
        <f>AND(#REF!,"AAAAAH/f/4s=")</f>
        <v>#REF!</v>
      </c>
      <c r="EK90" s="34" t="e">
        <f>AND(#REF!,"AAAAAH/f/4w=")</f>
        <v>#REF!</v>
      </c>
      <c r="EL90" s="34" t="e">
        <f>AND(#REF!,"AAAAAH/f/40=")</f>
        <v>#REF!</v>
      </c>
      <c r="EM90" s="34" t="e">
        <f>IF(#REF!,"AAAAAH/f/44=",0)</f>
        <v>#REF!</v>
      </c>
      <c r="EN90" s="34" t="e">
        <f>AND(#REF!,"AAAAAH/f/48=")</f>
        <v>#REF!</v>
      </c>
      <c r="EO90" s="34" t="e">
        <f>AND(#REF!,"AAAAAH/f/5A=")</f>
        <v>#REF!</v>
      </c>
      <c r="EP90" s="34" t="e">
        <f>AND(#REF!,"AAAAAH/f/5E=")</f>
        <v>#REF!</v>
      </c>
      <c r="EQ90" s="34" t="e">
        <f>AND(#REF!,"AAAAAH/f/5I=")</f>
        <v>#REF!</v>
      </c>
      <c r="ER90" s="34" t="e">
        <f>AND(#REF!,"AAAAAH/f/5M=")</f>
        <v>#REF!</v>
      </c>
      <c r="ES90" s="34" t="e">
        <f>AND(#REF!,"AAAAAH/f/5Q=")</f>
        <v>#REF!</v>
      </c>
      <c r="ET90" s="34" t="e">
        <f>AND(#REF!,"AAAAAH/f/5U=")</f>
        <v>#REF!</v>
      </c>
      <c r="EU90" s="34" t="e">
        <f>AND(#REF!,"AAAAAH/f/5Y=")</f>
        <v>#REF!</v>
      </c>
      <c r="EV90" s="34" t="e">
        <f>AND(#REF!,"AAAAAH/f/5c=")</f>
        <v>#REF!</v>
      </c>
      <c r="EW90" s="34" t="e">
        <f>AND(#REF!,"AAAAAH/f/5g=")</f>
        <v>#REF!</v>
      </c>
      <c r="EX90" s="34" t="e">
        <f>AND(#REF!,"AAAAAH/f/5k=")</f>
        <v>#REF!</v>
      </c>
      <c r="EY90" s="34" t="e">
        <f>AND(#REF!,"AAAAAH/f/5o=")</f>
        <v>#REF!</v>
      </c>
      <c r="EZ90" s="34" t="e">
        <f>AND(#REF!,"AAAAAH/f/5s=")</f>
        <v>#REF!</v>
      </c>
      <c r="FA90" s="34" t="e">
        <f>AND(#REF!,"AAAAAH/f/5w=")</f>
        <v>#REF!</v>
      </c>
      <c r="FB90" s="34" t="e">
        <f>AND(#REF!,"AAAAAH/f/50=")</f>
        <v>#REF!</v>
      </c>
      <c r="FC90" s="34" t="e">
        <f>AND(#REF!,"AAAAAH/f/54=")</f>
        <v>#REF!</v>
      </c>
      <c r="FD90" s="34" t="e">
        <f>IF(#REF!,"AAAAAH/f/58=",0)</f>
        <v>#REF!</v>
      </c>
      <c r="FE90" s="34" t="e">
        <f>AND(#REF!,"AAAAAH/f/6A=")</f>
        <v>#REF!</v>
      </c>
      <c r="FF90" s="34" t="e">
        <f>AND(#REF!,"AAAAAH/f/6E=")</f>
        <v>#REF!</v>
      </c>
      <c r="FG90" s="34" t="e">
        <f>AND(#REF!,"AAAAAH/f/6I=")</f>
        <v>#REF!</v>
      </c>
      <c r="FH90" s="34" t="e">
        <f>AND(#REF!,"AAAAAH/f/6M=")</f>
        <v>#REF!</v>
      </c>
      <c r="FI90" s="34" t="e">
        <f>AND(#REF!,"AAAAAH/f/6Q=")</f>
        <v>#REF!</v>
      </c>
      <c r="FJ90" s="34" t="e">
        <f>AND(#REF!,"AAAAAH/f/6U=")</f>
        <v>#REF!</v>
      </c>
      <c r="FK90" s="34" t="e">
        <f>AND(#REF!,"AAAAAH/f/6Y=")</f>
        <v>#REF!</v>
      </c>
      <c r="FL90" s="34" t="e">
        <f>AND(#REF!,"AAAAAH/f/6c=")</f>
        <v>#REF!</v>
      </c>
      <c r="FM90" s="34" t="e">
        <f>AND(#REF!,"AAAAAH/f/6g=")</f>
        <v>#REF!</v>
      </c>
      <c r="FN90" s="34" t="e">
        <f>AND(#REF!,"AAAAAH/f/6k=")</f>
        <v>#REF!</v>
      </c>
      <c r="FO90" s="34" t="e">
        <f>AND(#REF!,"AAAAAH/f/6o=")</f>
        <v>#REF!</v>
      </c>
      <c r="FP90" s="34" t="e">
        <f>AND(#REF!,"AAAAAH/f/6s=")</f>
        <v>#REF!</v>
      </c>
      <c r="FQ90" s="34" t="e">
        <f>AND(#REF!,"AAAAAH/f/6w=")</f>
        <v>#REF!</v>
      </c>
      <c r="FR90" s="34" t="e">
        <f>AND(#REF!,"AAAAAH/f/60=")</f>
        <v>#REF!</v>
      </c>
      <c r="FS90" s="34" t="e">
        <f>AND(#REF!,"AAAAAH/f/64=")</f>
        <v>#REF!</v>
      </c>
      <c r="FT90" s="34" t="e">
        <f>AND(#REF!,"AAAAAH/f/68=")</f>
        <v>#REF!</v>
      </c>
      <c r="FU90" s="34" t="e">
        <f>IF(#REF!,"AAAAAH/f/7A=",0)</f>
        <v>#REF!</v>
      </c>
      <c r="FV90" s="34" t="e">
        <f>AND(#REF!,"AAAAAH/f/7E=")</f>
        <v>#REF!</v>
      </c>
      <c r="FW90" s="34" t="e">
        <f>AND(#REF!,"AAAAAH/f/7I=")</f>
        <v>#REF!</v>
      </c>
      <c r="FX90" s="34" t="e">
        <f>AND(#REF!,"AAAAAH/f/7M=")</f>
        <v>#REF!</v>
      </c>
      <c r="FY90" s="34" t="e">
        <f>AND(#REF!,"AAAAAH/f/7Q=")</f>
        <v>#REF!</v>
      </c>
      <c r="FZ90" s="34" t="e">
        <f>AND(#REF!,"AAAAAH/f/7U=")</f>
        <v>#REF!</v>
      </c>
      <c r="GA90" s="34" t="e">
        <f>AND(#REF!,"AAAAAH/f/7Y=")</f>
        <v>#REF!</v>
      </c>
      <c r="GB90" s="34" t="e">
        <f>AND(#REF!,"AAAAAH/f/7c=")</f>
        <v>#REF!</v>
      </c>
      <c r="GC90" s="34" t="e">
        <f>AND(#REF!,"AAAAAH/f/7g=")</f>
        <v>#REF!</v>
      </c>
      <c r="GD90" s="34" t="e">
        <f>AND(#REF!,"AAAAAH/f/7k=")</f>
        <v>#REF!</v>
      </c>
      <c r="GE90" s="34" t="e">
        <f>AND(#REF!,"AAAAAH/f/7o=")</f>
        <v>#REF!</v>
      </c>
      <c r="GF90" s="34" t="e">
        <f>AND(#REF!,"AAAAAH/f/7s=")</f>
        <v>#REF!</v>
      </c>
      <c r="GG90" s="34" t="e">
        <f>AND(#REF!,"AAAAAH/f/7w=")</f>
        <v>#REF!</v>
      </c>
      <c r="GH90" s="34" t="e">
        <f>AND(#REF!,"AAAAAH/f/70=")</f>
        <v>#REF!</v>
      </c>
      <c r="GI90" s="34" t="e">
        <f>AND(#REF!,"AAAAAH/f/74=")</f>
        <v>#REF!</v>
      </c>
      <c r="GJ90" s="34" t="e">
        <f>AND(#REF!,"AAAAAH/f/78=")</f>
        <v>#REF!</v>
      </c>
      <c r="GK90" s="34" t="e">
        <f>AND(#REF!,"AAAAAH/f/8A=")</f>
        <v>#REF!</v>
      </c>
      <c r="GL90" s="34" t="e">
        <f>IF(#REF!,"AAAAAH/f/8E=",0)</f>
        <v>#REF!</v>
      </c>
      <c r="GM90" s="34" t="e">
        <f>AND(#REF!,"AAAAAH/f/8I=")</f>
        <v>#REF!</v>
      </c>
      <c r="GN90" s="34" t="e">
        <f>AND(#REF!,"AAAAAH/f/8M=")</f>
        <v>#REF!</v>
      </c>
      <c r="GO90" s="34" t="e">
        <f>AND(#REF!,"AAAAAH/f/8Q=")</f>
        <v>#REF!</v>
      </c>
      <c r="GP90" s="34" t="e">
        <f>AND(#REF!,"AAAAAH/f/8U=")</f>
        <v>#REF!</v>
      </c>
      <c r="GQ90" s="34" t="e">
        <f>AND(#REF!,"AAAAAH/f/8Y=")</f>
        <v>#REF!</v>
      </c>
      <c r="GR90" s="34" t="e">
        <f>AND(#REF!,"AAAAAH/f/8c=")</f>
        <v>#REF!</v>
      </c>
      <c r="GS90" s="34" t="e">
        <f>AND(#REF!,"AAAAAH/f/8g=")</f>
        <v>#REF!</v>
      </c>
      <c r="GT90" s="34" t="e">
        <f>AND(#REF!,"AAAAAH/f/8k=")</f>
        <v>#REF!</v>
      </c>
      <c r="GU90" s="34" t="e">
        <f>AND(#REF!,"AAAAAH/f/8o=")</f>
        <v>#REF!</v>
      </c>
      <c r="GV90" s="34" t="e">
        <f>AND(#REF!,"AAAAAH/f/8s=")</f>
        <v>#REF!</v>
      </c>
      <c r="GW90" s="34" t="e">
        <f>AND(#REF!,"AAAAAH/f/8w=")</f>
        <v>#REF!</v>
      </c>
      <c r="GX90" s="34" t="e">
        <f>AND(#REF!,"AAAAAH/f/80=")</f>
        <v>#REF!</v>
      </c>
      <c r="GY90" s="34" t="e">
        <f>AND(#REF!,"AAAAAH/f/84=")</f>
        <v>#REF!</v>
      </c>
      <c r="GZ90" s="34" t="e">
        <f>AND(#REF!,"AAAAAH/f/88=")</f>
        <v>#REF!</v>
      </c>
      <c r="HA90" s="34" t="e">
        <f>AND(#REF!,"AAAAAH/f/9A=")</f>
        <v>#REF!</v>
      </c>
      <c r="HB90" s="34" t="e">
        <f>AND(#REF!,"AAAAAH/f/9E=")</f>
        <v>#REF!</v>
      </c>
      <c r="HC90" s="34" t="e">
        <f>IF(#REF!,"AAAAAH/f/9I=",0)</f>
        <v>#REF!</v>
      </c>
      <c r="HD90" s="34" t="e">
        <f>AND(#REF!,"AAAAAH/f/9M=")</f>
        <v>#REF!</v>
      </c>
      <c r="HE90" s="34" t="e">
        <f>AND(#REF!,"AAAAAH/f/9Q=")</f>
        <v>#REF!</v>
      </c>
      <c r="HF90" s="34" t="e">
        <f>AND(#REF!,"AAAAAH/f/9U=")</f>
        <v>#REF!</v>
      </c>
      <c r="HG90" s="34" t="e">
        <f>AND(#REF!,"AAAAAH/f/9Y=")</f>
        <v>#REF!</v>
      </c>
      <c r="HH90" s="34" t="e">
        <f>AND(#REF!,"AAAAAH/f/9c=")</f>
        <v>#REF!</v>
      </c>
      <c r="HI90" s="34" t="e">
        <f>AND(#REF!,"AAAAAH/f/9g=")</f>
        <v>#REF!</v>
      </c>
      <c r="HJ90" s="34" t="e">
        <f>AND(#REF!,"AAAAAH/f/9k=")</f>
        <v>#REF!</v>
      </c>
      <c r="HK90" s="34" t="e">
        <f>AND(#REF!,"AAAAAH/f/9o=")</f>
        <v>#REF!</v>
      </c>
      <c r="HL90" s="34" t="e">
        <f>AND(#REF!,"AAAAAH/f/9s=")</f>
        <v>#REF!</v>
      </c>
      <c r="HM90" s="34" t="e">
        <f>AND(#REF!,"AAAAAH/f/9w=")</f>
        <v>#REF!</v>
      </c>
      <c r="HN90" s="34" t="e">
        <f>AND(#REF!,"AAAAAH/f/90=")</f>
        <v>#REF!</v>
      </c>
      <c r="HO90" s="34" t="e">
        <f>AND(#REF!,"AAAAAH/f/94=")</f>
        <v>#REF!</v>
      </c>
      <c r="HP90" s="34" t="e">
        <f>AND(#REF!,"AAAAAH/f/98=")</f>
        <v>#REF!</v>
      </c>
      <c r="HQ90" s="34" t="e">
        <f>AND(#REF!,"AAAAAH/f/+A=")</f>
        <v>#REF!</v>
      </c>
      <c r="HR90" s="34" t="e">
        <f>AND(#REF!,"AAAAAH/f/+E=")</f>
        <v>#REF!</v>
      </c>
      <c r="HS90" s="34" t="e">
        <f>AND(#REF!,"AAAAAH/f/+I=")</f>
        <v>#REF!</v>
      </c>
      <c r="HT90" s="34" t="e">
        <f>IF(#REF!,"AAAAAH/f/+M=",0)</f>
        <v>#REF!</v>
      </c>
      <c r="HU90" s="34" t="e">
        <f>AND(#REF!,"AAAAAH/f/+Q=")</f>
        <v>#REF!</v>
      </c>
      <c r="HV90" s="34" t="e">
        <f>AND(#REF!,"AAAAAH/f/+U=")</f>
        <v>#REF!</v>
      </c>
      <c r="HW90" s="34" t="e">
        <f>AND(#REF!,"AAAAAH/f/+Y=")</f>
        <v>#REF!</v>
      </c>
      <c r="HX90" s="34" t="e">
        <f>AND(#REF!,"AAAAAH/f/+c=")</f>
        <v>#REF!</v>
      </c>
      <c r="HY90" s="34" t="e">
        <f>AND(#REF!,"AAAAAH/f/+g=")</f>
        <v>#REF!</v>
      </c>
      <c r="HZ90" s="34" t="e">
        <f>AND(#REF!,"AAAAAH/f/+k=")</f>
        <v>#REF!</v>
      </c>
      <c r="IA90" s="34" t="e">
        <f>AND(#REF!,"AAAAAH/f/+o=")</f>
        <v>#REF!</v>
      </c>
      <c r="IB90" s="34" t="e">
        <f>AND(#REF!,"AAAAAH/f/+s=")</f>
        <v>#REF!</v>
      </c>
      <c r="IC90" s="34" t="e">
        <f>AND(#REF!,"AAAAAH/f/+w=")</f>
        <v>#REF!</v>
      </c>
      <c r="ID90" s="34" t="e">
        <f>AND(#REF!,"AAAAAH/f/+0=")</f>
        <v>#REF!</v>
      </c>
      <c r="IE90" s="34" t="e">
        <f>AND(#REF!,"AAAAAH/f/+4=")</f>
        <v>#REF!</v>
      </c>
      <c r="IF90" s="34" t="e">
        <f>AND(#REF!,"AAAAAH/f/+8=")</f>
        <v>#REF!</v>
      </c>
      <c r="IG90" s="34" t="e">
        <f>AND(#REF!,"AAAAAH/f//A=")</f>
        <v>#REF!</v>
      </c>
      <c r="IH90" s="34" t="e">
        <f>AND(#REF!,"AAAAAH/f//E=")</f>
        <v>#REF!</v>
      </c>
      <c r="II90" s="34" t="e">
        <f>AND(#REF!,"AAAAAH/f//I=")</f>
        <v>#REF!</v>
      </c>
      <c r="IJ90" s="34" t="e">
        <f>AND(#REF!,"AAAAAH/f//M=")</f>
        <v>#REF!</v>
      </c>
      <c r="IK90" s="34" t="e">
        <f>IF(#REF!,"AAAAAH/f//Q=",0)</f>
        <v>#REF!</v>
      </c>
      <c r="IL90" s="34" t="e">
        <f>AND(#REF!,"AAAAAH/f//U=")</f>
        <v>#REF!</v>
      </c>
      <c r="IM90" s="34" t="e">
        <f>AND(#REF!,"AAAAAH/f//Y=")</f>
        <v>#REF!</v>
      </c>
      <c r="IN90" s="34" t="e">
        <f>AND(#REF!,"AAAAAH/f//c=")</f>
        <v>#REF!</v>
      </c>
      <c r="IO90" s="34" t="e">
        <f>AND(#REF!,"AAAAAH/f//g=")</f>
        <v>#REF!</v>
      </c>
      <c r="IP90" s="34" t="e">
        <f>AND(#REF!,"AAAAAH/f//k=")</f>
        <v>#REF!</v>
      </c>
      <c r="IQ90" s="34" t="e">
        <f>AND(#REF!,"AAAAAH/f//o=")</f>
        <v>#REF!</v>
      </c>
      <c r="IR90" s="34" t="e">
        <f>AND(#REF!,"AAAAAH/f//s=")</f>
        <v>#REF!</v>
      </c>
      <c r="IS90" s="34" t="e">
        <f>AND(#REF!,"AAAAAH/f//w=")</f>
        <v>#REF!</v>
      </c>
      <c r="IT90" s="34" t="e">
        <f>AND(#REF!,"AAAAAH/f//0=")</f>
        <v>#REF!</v>
      </c>
      <c r="IU90" s="34" t="e">
        <f>AND(#REF!,"AAAAAH/f//4=")</f>
        <v>#REF!</v>
      </c>
      <c r="IV90" s="34" t="e">
        <f>AND(#REF!,"AAAAAH/f//8=")</f>
        <v>#REF!</v>
      </c>
    </row>
    <row r="91" spans="1:256" ht="12.75" customHeight="1" x14ac:dyDescent="0.2">
      <c r="A91" s="34" t="e">
        <f>AND(#REF!,"AAAAAH7p7wA=")</f>
        <v>#REF!</v>
      </c>
      <c r="B91" s="34" t="e">
        <f>AND(#REF!,"AAAAAH7p7wE=")</f>
        <v>#REF!</v>
      </c>
      <c r="C91" s="34" t="e">
        <f>AND(#REF!,"AAAAAH7p7wI=")</f>
        <v>#REF!</v>
      </c>
      <c r="D91" s="34" t="e">
        <f>AND(#REF!,"AAAAAH7p7wM=")</f>
        <v>#REF!</v>
      </c>
      <c r="E91" s="34" t="e">
        <f>AND(#REF!,"AAAAAH7p7wQ=")</f>
        <v>#REF!</v>
      </c>
      <c r="F91" s="34" t="e">
        <f>IF(#REF!,"AAAAAH7p7wU=",0)</f>
        <v>#REF!</v>
      </c>
      <c r="G91" s="34" t="e">
        <f>AND(#REF!,"AAAAAH7p7wY=")</f>
        <v>#REF!</v>
      </c>
      <c r="H91" s="34" t="e">
        <f>AND(#REF!,"AAAAAH7p7wc=")</f>
        <v>#REF!</v>
      </c>
      <c r="I91" s="34" t="e">
        <f>AND(#REF!,"AAAAAH7p7wg=")</f>
        <v>#REF!</v>
      </c>
      <c r="J91" s="34" t="e">
        <f>AND(#REF!,"AAAAAH7p7wk=")</f>
        <v>#REF!</v>
      </c>
      <c r="K91" s="34" t="e">
        <f>AND(#REF!,"AAAAAH7p7wo=")</f>
        <v>#REF!</v>
      </c>
      <c r="L91" s="34" t="e">
        <f>AND(#REF!,"AAAAAH7p7ws=")</f>
        <v>#REF!</v>
      </c>
      <c r="M91" s="34" t="e">
        <f>AND(#REF!,"AAAAAH7p7ww=")</f>
        <v>#REF!</v>
      </c>
      <c r="N91" s="34" t="e">
        <f>AND(#REF!,"AAAAAH7p7w0=")</f>
        <v>#REF!</v>
      </c>
      <c r="O91" s="34" t="e">
        <f>AND(#REF!,"AAAAAH7p7w4=")</f>
        <v>#REF!</v>
      </c>
      <c r="P91" s="34" t="e">
        <f>AND(#REF!,"AAAAAH7p7w8=")</f>
        <v>#REF!</v>
      </c>
      <c r="Q91" s="34" t="e">
        <f>AND(#REF!,"AAAAAH7p7xA=")</f>
        <v>#REF!</v>
      </c>
      <c r="R91" s="34" t="e">
        <f>AND(#REF!,"AAAAAH7p7xE=")</f>
        <v>#REF!</v>
      </c>
      <c r="S91" s="34" t="e">
        <f>AND(#REF!,"AAAAAH7p7xI=")</f>
        <v>#REF!</v>
      </c>
      <c r="T91" s="34" t="e">
        <f>AND(#REF!,"AAAAAH7p7xM=")</f>
        <v>#REF!</v>
      </c>
      <c r="U91" s="34" t="e">
        <f>AND(#REF!,"AAAAAH7p7xQ=")</f>
        <v>#REF!</v>
      </c>
      <c r="V91" s="34" t="e">
        <f>AND(#REF!,"AAAAAH7p7xU=")</f>
        <v>#REF!</v>
      </c>
      <c r="W91" s="34" t="e">
        <f>IF(#REF!,"AAAAAH7p7xY=",0)</f>
        <v>#REF!</v>
      </c>
      <c r="X91" s="34" t="e">
        <f>AND(#REF!,"AAAAAH7p7xc=")</f>
        <v>#REF!</v>
      </c>
      <c r="Y91" s="34" t="e">
        <f>AND(#REF!,"AAAAAH7p7xg=")</f>
        <v>#REF!</v>
      </c>
      <c r="Z91" s="34" t="e">
        <f>AND(#REF!,"AAAAAH7p7xk=")</f>
        <v>#REF!</v>
      </c>
      <c r="AA91" s="34" t="e">
        <f>AND(#REF!,"AAAAAH7p7xo=")</f>
        <v>#REF!</v>
      </c>
      <c r="AB91" s="34" t="e">
        <f>AND(#REF!,"AAAAAH7p7xs=")</f>
        <v>#REF!</v>
      </c>
      <c r="AC91" s="34" t="e">
        <f>AND(#REF!,"AAAAAH7p7xw=")</f>
        <v>#REF!</v>
      </c>
      <c r="AD91" s="34" t="e">
        <f>AND(#REF!,"AAAAAH7p7x0=")</f>
        <v>#REF!</v>
      </c>
      <c r="AE91" s="34" t="e">
        <f>AND(#REF!,"AAAAAH7p7x4=")</f>
        <v>#REF!</v>
      </c>
      <c r="AF91" s="34" t="e">
        <f>AND(#REF!,"AAAAAH7p7x8=")</f>
        <v>#REF!</v>
      </c>
      <c r="AG91" s="34" t="e">
        <f>AND(#REF!,"AAAAAH7p7yA=")</f>
        <v>#REF!</v>
      </c>
      <c r="AH91" s="34" t="e">
        <f>AND(#REF!,"AAAAAH7p7yE=")</f>
        <v>#REF!</v>
      </c>
      <c r="AI91" s="34" t="e">
        <f>AND(#REF!,"AAAAAH7p7yI=")</f>
        <v>#REF!</v>
      </c>
      <c r="AJ91" s="34" t="e">
        <f>AND(#REF!,"AAAAAH7p7yM=")</f>
        <v>#REF!</v>
      </c>
      <c r="AK91" s="34" t="e">
        <f>AND(#REF!,"AAAAAH7p7yQ=")</f>
        <v>#REF!</v>
      </c>
      <c r="AL91" s="34" t="e">
        <f>AND(#REF!,"AAAAAH7p7yU=")</f>
        <v>#REF!</v>
      </c>
      <c r="AM91" s="34" t="e">
        <f>AND(#REF!,"AAAAAH7p7yY=")</f>
        <v>#REF!</v>
      </c>
      <c r="AN91" s="34" t="e">
        <f>IF(#REF!,"AAAAAH7p7yc=",0)</f>
        <v>#REF!</v>
      </c>
      <c r="AO91" s="34" t="e">
        <f>AND(#REF!,"AAAAAH7p7yg=")</f>
        <v>#REF!</v>
      </c>
      <c r="AP91" s="34" t="e">
        <f>AND(#REF!,"AAAAAH7p7yk=")</f>
        <v>#REF!</v>
      </c>
      <c r="AQ91" s="34" t="e">
        <f>AND(#REF!,"AAAAAH7p7yo=")</f>
        <v>#REF!</v>
      </c>
      <c r="AR91" s="34" t="e">
        <f>AND(#REF!,"AAAAAH7p7ys=")</f>
        <v>#REF!</v>
      </c>
      <c r="AS91" s="34" t="e">
        <f>AND(#REF!,"AAAAAH7p7yw=")</f>
        <v>#REF!</v>
      </c>
      <c r="AT91" s="34" t="e">
        <f>AND(#REF!,"AAAAAH7p7y0=")</f>
        <v>#REF!</v>
      </c>
      <c r="AU91" s="34" t="e">
        <f>AND(#REF!,"AAAAAH7p7y4=")</f>
        <v>#REF!</v>
      </c>
      <c r="AV91" s="34" t="e">
        <f>AND(#REF!,"AAAAAH7p7y8=")</f>
        <v>#REF!</v>
      </c>
      <c r="AW91" s="34" t="e">
        <f>AND(#REF!,"AAAAAH7p7zA=")</f>
        <v>#REF!</v>
      </c>
      <c r="AX91" s="34" t="e">
        <f>AND(#REF!,"AAAAAH7p7zE=")</f>
        <v>#REF!</v>
      </c>
      <c r="AY91" s="34" t="e">
        <f>AND(#REF!,"AAAAAH7p7zI=")</f>
        <v>#REF!</v>
      </c>
      <c r="AZ91" s="34" t="e">
        <f>AND(#REF!,"AAAAAH7p7zM=")</f>
        <v>#REF!</v>
      </c>
      <c r="BA91" s="34" t="e">
        <f>AND(#REF!,"AAAAAH7p7zQ=")</f>
        <v>#REF!</v>
      </c>
      <c r="BB91" s="34" t="e">
        <f>AND(#REF!,"AAAAAH7p7zU=")</f>
        <v>#REF!</v>
      </c>
      <c r="BC91" s="34" t="e">
        <f>AND(#REF!,"AAAAAH7p7zY=")</f>
        <v>#REF!</v>
      </c>
      <c r="BD91" s="34" t="e">
        <f>AND(#REF!,"AAAAAH7p7zc=")</f>
        <v>#REF!</v>
      </c>
      <c r="BE91" s="34" t="e">
        <f>IF(#REF!,"AAAAAH7p7zg=",0)</f>
        <v>#REF!</v>
      </c>
      <c r="BF91" s="34" t="e">
        <f>AND(#REF!,"AAAAAH7p7zk=")</f>
        <v>#REF!</v>
      </c>
      <c r="BG91" s="34" t="e">
        <f>AND(#REF!,"AAAAAH7p7zo=")</f>
        <v>#REF!</v>
      </c>
      <c r="BH91" s="34" t="e">
        <f>AND(#REF!,"AAAAAH7p7zs=")</f>
        <v>#REF!</v>
      </c>
      <c r="BI91" s="34" t="e">
        <f>AND(#REF!,"AAAAAH7p7zw=")</f>
        <v>#REF!</v>
      </c>
      <c r="BJ91" s="34" t="e">
        <f>AND(#REF!,"AAAAAH7p7z0=")</f>
        <v>#REF!</v>
      </c>
      <c r="BK91" s="34" t="e">
        <f>AND(#REF!,"AAAAAH7p7z4=")</f>
        <v>#REF!</v>
      </c>
      <c r="BL91" s="34" t="e">
        <f>AND(#REF!,"AAAAAH7p7z8=")</f>
        <v>#REF!</v>
      </c>
      <c r="BM91" s="34" t="e">
        <f>AND(#REF!,"AAAAAH7p70A=")</f>
        <v>#REF!</v>
      </c>
      <c r="BN91" s="34" t="e">
        <f>AND(#REF!,"AAAAAH7p70E=")</f>
        <v>#REF!</v>
      </c>
      <c r="BO91" s="34" t="e">
        <f>AND(#REF!,"AAAAAH7p70I=")</f>
        <v>#REF!</v>
      </c>
      <c r="BP91" s="34" t="e">
        <f>AND(#REF!,"AAAAAH7p70M=")</f>
        <v>#REF!</v>
      </c>
      <c r="BQ91" s="34" t="e">
        <f>AND(#REF!,"AAAAAH7p70Q=")</f>
        <v>#REF!</v>
      </c>
      <c r="BR91" s="34" t="e">
        <f>AND(#REF!,"AAAAAH7p70U=")</f>
        <v>#REF!</v>
      </c>
      <c r="BS91" s="34" t="e">
        <f>AND(#REF!,"AAAAAH7p70Y=")</f>
        <v>#REF!</v>
      </c>
      <c r="BT91" s="34" t="e">
        <f>AND(#REF!,"AAAAAH7p70c=")</f>
        <v>#REF!</v>
      </c>
      <c r="BU91" s="34" t="e">
        <f>AND(#REF!,"AAAAAH7p70g=")</f>
        <v>#REF!</v>
      </c>
      <c r="BV91" s="34" t="e">
        <f>IF(#REF!,"AAAAAH7p70k=",0)</f>
        <v>#REF!</v>
      </c>
      <c r="BW91" s="34" t="e">
        <f>AND(#REF!,"AAAAAH7p70o=")</f>
        <v>#REF!</v>
      </c>
      <c r="BX91" s="34" t="e">
        <f>AND(#REF!,"AAAAAH7p70s=")</f>
        <v>#REF!</v>
      </c>
      <c r="BY91" s="34" t="e">
        <f>AND(#REF!,"AAAAAH7p70w=")</f>
        <v>#REF!</v>
      </c>
      <c r="BZ91" s="34" t="e">
        <f>AND(#REF!,"AAAAAH7p700=")</f>
        <v>#REF!</v>
      </c>
      <c r="CA91" s="34" t="e">
        <f>AND(#REF!,"AAAAAH7p704=")</f>
        <v>#REF!</v>
      </c>
      <c r="CB91" s="34" t="e">
        <f>AND(#REF!,"AAAAAH7p708=")</f>
        <v>#REF!</v>
      </c>
      <c r="CC91" s="34" t="e">
        <f>AND(#REF!,"AAAAAH7p71A=")</f>
        <v>#REF!</v>
      </c>
      <c r="CD91" s="34" t="e">
        <f>AND(#REF!,"AAAAAH7p71E=")</f>
        <v>#REF!</v>
      </c>
      <c r="CE91" s="34" t="e">
        <f>AND(#REF!,"AAAAAH7p71I=")</f>
        <v>#REF!</v>
      </c>
      <c r="CF91" s="34" t="e">
        <f>AND(#REF!,"AAAAAH7p71M=")</f>
        <v>#REF!</v>
      </c>
      <c r="CG91" s="34" t="e">
        <f>AND(#REF!,"AAAAAH7p71Q=")</f>
        <v>#REF!</v>
      </c>
      <c r="CH91" s="34" t="e">
        <f>AND(#REF!,"AAAAAH7p71U=")</f>
        <v>#REF!</v>
      </c>
      <c r="CI91" s="34" t="e">
        <f>AND(#REF!,"AAAAAH7p71Y=")</f>
        <v>#REF!</v>
      </c>
      <c r="CJ91" s="34" t="e">
        <f>AND(#REF!,"AAAAAH7p71c=")</f>
        <v>#REF!</v>
      </c>
      <c r="CK91" s="34" t="e">
        <f>AND(#REF!,"AAAAAH7p71g=")</f>
        <v>#REF!</v>
      </c>
      <c r="CL91" s="34" t="e">
        <f>AND(#REF!,"AAAAAH7p71k=")</f>
        <v>#REF!</v>
      </c>
      <c r="CM91" s="34" t="e">
        <f>IF(#REF!,"AAAAAH7p71o=",0)</f>
        <v>#REF!</v>
      </c>
      <c r="CN91" s="34" t="e">
        <f>AND(#REF!,"AAAAAH7p71s=")</f>
        <v>#REF!</v>
      </c>
      <c r="CO91" s="34" t="e">
        <f>AND(#REF!,"AAAAAH7p71w=")</f>
        <v>#REF!</v>
      </c>
      <c r="CP91" s="34" t="e">
        <f>AND(#REF!,"AAAAAH7p710=")</f>
        <v>#REF!</v>
      </c>
      <c r="CQ91" s="34" t="e">
        <f>AND(#REF!,"AAAAAH7p714=")</f>
        <v>#REF!</v>
      </c>
      <c r="CR91" s="34" t="e">
        <f>AND(#REF!,"AAAAAH7p718=")</f>
        <v>#REF!</v>
      </c>
      <c r="CS91" s="34" t="e">
        <f>AND(#REF!,"AAAAAH7p72A=")</f>
        <v>#REF!</v>
      </c>
      <c r="CT91" s="34" t="e">
        <f>AND(#REF!,"AAAAAH7p72E=")</f>
        <v>#REF!</v>
      </c>
      <c r="CU91" s="34" t="e">
        <f>AND(#REF!,"AAAAAH7p72I=")</f>
        <v>#REF!</v>
      </c>
      <c r="CV91" s="34" t="e">
        <f>AND(#REF!,"AAAAAH7p72M=")</f>
        <v>#REF!</v>
      </c>
      <c r="CW91" s="34" t="e">
        <f>AND(#REF!,"AAAAAH7p72Q=")</f>
        <v>#REF!</v>
      </c>
      <c r="CX91" s="34" t="e">
        <f>AND(#REF!,"AAAAAH7p72U=")</f>
        <v>#REF!</v>
      </c>
      <c r="CY91" s="34" t="e">
        <f>AND(#REF!,"AAAAAH7p72Y=")</f>
        <v>#REF!</v>
      </c>
      <c r="CZ91" s="34" t="e">
        <f>AND(#REF!,"AAAAAH7p72c=")</f>
        <v>#REF!</v>
      </c>
      <c r="DA91" s="34" t="e">
        <f>AND(#REF!,"AAAAAH7p72g=")</f>
        <v>#REF!</v>
      </c>
      <c r="DB91" s="34" t="e">
        <f>AND(#REF!,"AAAAAH7p72k=")</f>
        <v>#REF!</v>
      </c>
      <c r="DC91" s="34" t="e">
        <f>AND(#REF!,"AAAAAH7p72o=")</f>
        <v>#REF!</v>
      </c>
      <c r="DD91" s="34" t="e">
        <f>IF(#REF!,"AAAAAH7p72s=",0)</f>
        <v>#REF!</v>
      </c>
      <c r="DE91" s="34" t="e">
        <f>AND(#REF!,"AAAAAH7p72w=")</f>
        <v>#REF!</v>
      </c>
      <c r="DF91" s="34" t="e">
        <f>AND(#REF!,"AAAAAH7p720=")</f>
        <v>#REF!</v>
      </c>
      <c r="DG91" s="34" t="e">
        <f>AND(#REF!,"AAAAAH7p724=")</f>
        <v>#REF!</v>
      </c>
      <c r="DH91" s="34" t="e">
        <f>AND(#REF!,"AAAAAH7p728=")</f>
        <v>#REF!</v>
      </c>
      <c r="DI91" s="34" t="e">
        <f>AND(#REF!,"AAAAAH7p73A=")</f>
        <v>#REF!</v>
      </c>
      <c r="DJ91" s="34" t="e">
        <f>AND(#REF!,"AAAAAH7p73E=")</f>
        <v>#REF!</v>
      </c>
      <c r="DK91" s="34" t="e">
        <f>AND(#REF!,"AAAAAH7p73I=")</f>
        <v>#REF!</v>
      </c>
      <c r="DL91" s="34" t="e">
        <f>AND(#REF!,"AAAAAH7p73M=")</f>
        <v>#REF!</v>
      </c>
      <c r="DM91" s="34" t="e">
        <f>AND(#REF!,"AAAAAH7p73Q=")</f>
        <v>#REF!</v>
      </c>
      <c r="DN91" s="34" t="e">
        <f>AND(#REF!,"AAAAAH7p73U=")</f>
        <v>#REF!</v>
      </c>
      <c r="DO91" s="34" t="e">
        <f>AND(#REF!,"AAAAAH7p73Y=")</f>
        <v>#REF!</v>
      </c>
      <c r="DP91" s="34" t="e">
        <f>AND(#REF!,"AAAAAH7p73c=")</f>
        <v>#REF!</v>
      </c>
      <c r="DQ91" s="34" t="e">
        <f>AND(#REF!,"AAAAAH7p73g=")</f>
        <v>#REF!</v>
      </c>
      <c r="DR91" s="34" t="e">
        <f>AND(#REF!,"AAAAAH7p73k=")</f>
        <v>#REF!</v>
      </c>
      <c r="DS91" s="34" t="e">
        <f>AND(#REF!,"AAAAAH7p73o=")</f>
        <v>#REF!</v>
      </c>
      <c r="DT91" s="34" t="e">
        <f>AND(#REF!,"AAAAAH7p73s=")</f>
        <v>#REF!</v>
      </c>
      <c r="DU91" s="34" t="e">
        <f>IF(#REF!,"AAAAAH7p73w=",0)</f>
        <v>#REF!</v>
      </c>
      <c r="DV91" s="34" t="e">
        <f>AND(#REF!,"AAAAAH7p730=")</f>
        <v>#REF!</v>
      </c>
      <c r="DW91" s="34" t="e">
        <f>AND(#REF!,"AAAAAH7p734=")</f>
        <v>#REF!</v>
      </c>
      <c r="DX91" s="34" t="e">
        <f>AND(#REF!,"AAAAAH7p738=")</f>
        <v>#REF!</v>
      </c>
      <c r="DY91" s="34" t="e">
        <f>AND(#REF!,"AAAAAH7p74A=")</f>
        <v>#REF!</v>
      </c>
      <c r="DZ91" s="34" t="e">
        <f>AND(#REF!,"AAAAAH7p74E=")</f>
        <v>#REF!</v>
      </c>
      <c r="EA91" s="34" t="e">
        <f>AND(#REF!,"AAAAAH7p74I=")</f>
        <v>#REF!</v>
      </c>
      <c r="EB91" s="34" t="e">
        <f>AND(#REF!,"AAAAAH7p74M=")</f>
        <v>#REF!</v>
      </c>
      <c r="EC91" s="34" t="e">
        <f>AND(#REF!,"AAAAAH7p74Q=")</f>
        <v>#REF!</v>
      </c>
      <c r="ED91" s="34" t="e">
        <f>AND(#REF!,"AAAAAH7p74U=")</f>
        <v>#REF!</v>
      </c>
      <c r="EE91" s="34" t="e">
        <f>AND(#REF!,"AAAAAH7p74Y=")</f>
        <v>#REF!</v>
      </c>
      <c r="EF91" s="34" t="e">
        <f>AND(#REF!,"AAAAAH7p74c=")</f>
        <v>#REF!</v>
      </c>
      <c r="EG91" s="34" t="e">
        <f>AND(#REF!,"AAAAAH7p74g=")</f>
        <v>#REF!</v>
      </c>
      <c r="EH91" s="34" t="e">
        <f>AND(#REF!,"AAAAAH7p74k=")</f>
        <v>#REF!</v>
      </c>
      <c r="EI91" s="34" t="e">
        <f>AND(#REF!,"AAAAAH7p74o=")</f>
        <v>#REF!</v>
      </c>
      <c r="EJ91" s="34" t="e">
        <f>AND(#REF!,"AAAAAH7p74s=")</f>
        <v>#REF!</v>
      </c>
      <c r="EK91" s="34" t="e">
        <f>AND(#REF!,"AAAAAH7p74w=")</f>
        <v>#REF!</v>
      </c>
      <c r="EL91" s="34" t="e">
        <f>IF(#REF!,"AAAAAH7p740=",0)</f>
        <v>#REF!</v>
      </c>
      <c r="EM91" s="34" t="e">
        <f>AND(#REF!,"AAAAAH7p744=")</f>
        <v>#REF!</v>
      </c>
      <c r="EN91" s="34" t="e">
        <f>AND(#REF!,"AAAAAH7p748=")</f>
        <v>#REF!</v>
      </c>
      <c r="EO91" s="34" t="e">
        <f>AND(#REF!,"AAAAAH7p75A=")</f>
        <v>#REF!</v>
      </c>
      <c r="EP91" s="34" t="e">
        <f>AND(#REF!,"AAAAAH7p75E=")</f>
        <v>#REF!</v>
      </c>
      <c r="EQ91" s="34" t="e">
        <f>AND(#REF!,"AAAAAH7p75I=")</f>
        <v>#REF!</v>
      </c>
      <c r="ER91" s="34" t="e">
        <f>AND(#REF!,"AAAAAH7p75M=")</f>
        <v>#REF!</v>
      </c>
      <c r="ES91" s="34" t="e">
        <f>AND(#REF!,"AAAAAH7p75Q=")</f>
        <v>#REF!</v>
      </c>
      <c r="ET91" s="34" t="e">
        <f>AND(#REF!,"AAAAAH7p75U=")</f>
        <v>#REF!</v>
      </c>
      <c r="EU91" s="34" t="e">
        <f>AND(#REF!,"AAAAAH7p75Y=")</f>
        <v>#REF!</v>
      </c>
      <c r="EV91" s="34" t="e">
        <f>AND(#REF!,"AAAAAH7p75c=")</f>
        <v>#REF!</v>
      </c>
      <c r="EW91" s="34" t="e">
        <f>AND(#REF!,"AAAAAH7p75g=")</f>
        <v>#REF!</v>
      </c>
      <c r="EX91" s="34" t="e">
        <f>AND(#REF!,"AAAAAH7p75k=")</f>
        <v>#REF!</v>
      </c>
      <c r="EY91" s="34" t="e">
        <f>AND(#REF!,"AAAAAH7p75o=")</f>
        <v>#REF!</v>
      </c>
      <c r="EZ91" s="34" t="e">
        <f>AND(#REF!,"AAAAAH7p75s=")</f>
        <v>#REF!</v>
      </c>
      <c r="FA91" s="34" t="e">
        <f>AND(#REF!,"AAAAAH7p75w=")</f>
        <v>#REF!</v>
      </c>
      <c r="FB91" s="34" t="e">
        <f>AND(#REF!,"AAAAAH7p750=")</f>
        <v>#REF!</v>
      </c>
      <c r="FC91" s="34" t="e">
        <f>IF(#REF!,"AAAAAH7p754=",0)</f>
        <v>#REF!</v>
      </c>
      <c r="FD91" s="34" t="e">
        <f>AND(#REF!,"AAAAAH7p758=")</f>
        <v>#REF!</v>
      </c>
      <c r="FE91" s="34" t="e">
        <f>AND(#REF!,"AAAAAH7p76A=")</f>
        <v>#REF!</v>
      </c>
      <c r="FF91" s="34" t="e">
        <f>AND(#REF!,"AAAAAH7p76E=")</f>
        <v>#REF!</v>
      </c>
      <c r="FG91" s="34" t="e">
        <f>AND(#REF!,"AAAAAH7p76I=")</f>
        <v>#REF!</v>
      </c>
      <c r="FH91" s="34" t="e">
        <f>AND(#REF!,"AAAAAH7p76M=")</f>
        <v>#REF!</v>
      </c>
      <c r="FI91" s="34" t="e">
        <f>AND(#REF!,"AAAAAH7p76Q=")</f>
        <v>#REF!</v>
      </c>
      <c r="FJ91" s="34" t="e">
        <f>AND(#REF!,"AAAAAH7p76U=")</f>
        <v>#REF!</v>
      </c>
      <c r="FK91" s="34" t="e">
        <f>AND(#REF!,"AAAAAH7p76Y=")</f>
        <v>#REF!</v>
      </c>
      <c r="FL91" s="34" t="e">
        <f>AND(#REF!,"AAAAAH7p76c=")</f>
        <v>#REF!</v>
      </c>
      <c r="FM91" s="34" t="e">
        <f>AND(#REF!,"AAAAAH7p76g=")</f>
        <v>#REF!</v>
      </c>
      <c r="FN91" s="34" t="e">
        <f>AND(#REF!,"AAAAAH7p76k=")</f>
        <v>#REF!</v>
      </c>
      <c r="FO91" s="34" t="e">
        <f>AND(#REF!,"AAAAAH7p76o=")</f>
        <v>#REF!</v>
      </c>
      <c r="FP91" s="34" t="e">
        <f>AND(#REF!,"AAAAAH7p76s=")</f>
        <v>#REF!</v>
      </c>
      <c r="FQ91" s="34" t="e">
        <f>AND(#REF!,"AAAAAH7p76w=")</f>
        <v>#REF!</v>
      </c>
      <c r="FR91" s="34" t="e">
        <f>AND(#REF!,"AAAAAH7p760=")</f>
        <v>#REF!</v>
      </c>
      <c r="FS91" s="34" t="e">
        <f>AND(#REF!,"AAAAAH7p764=")</f>
        <v>#REF!</v>
      </c>
      <c r="FT91" s="34" t="e">
        <f>IF(#REF!,"AAAAAH7p768=",0)</f>
        <v>#REF!</v>
      </c>
      <c r="FU91" s="34" t="e">
        <f>AND(#REF!,"AAAAAH7p77A=")</f>
        <v>#REF!</v>
      </c>
      <c r="FV91" s="34" t="e">
        <f>AND(#REF!,"AAAAAH7p77E=")</f>
        <v>#REF!</v>
      </c>
      <c r="FW91" s="34" t="e">
        <f>AND(#REF!,"AAAAAH7p77I=")</f>
        <v>#REF!</v>
      </c>
      <c r="FX91" s="34" t="e">
        <f>AND(#REF!,"AAAAAH7p77M=")</f>
        <v>#REF!</v>
      </c>
      <c r="FY91" s="34" t="e">
        <f>AND(#REF!,"AAAAAH7p77Q=")</f>
        <v>#REF!</v>
      </c>
      <c r="FZ91" s="34" t="e">
        <f>AND(#REF!,"AAAAAH7p77U=")</f>
        <v>#REF!</v>
      </c>
      <c r="GA91" s="34" t="e">
        <f>AND(#REF!,"AAAAAH7p77Y=")</f>
        <v>#REF!</v>
      </c>
      <c r="GB91" s="34" t="e">
        <f>AND(#REF!,"AAAAAH7p77c=")</f>
        <v>#REF!</v>
      </c>
      <c r="GC91" s="34" t="e">
        <f>AND(#REF!,"AAAAAH7p77g=")</f>
        <v>#REF!</v>
      </c>
      <c r="GD91" s="34" t="e">
        <f>AND(#REF!,"AAAAAH7p77k=")</f>
        <v>#REF!</v>
      </c>
      <c r="GE91" s="34" t="e">
        <f>AND(#REF!,"AAAAAH7p77o=")</f>
        <v>#REF!</v>
      </c>
      <c r="GF91" s="34" t="e">
        <f>AND(#REF!,"AAAAAH7p77s=")</f>
        <v>#REF!</v>
      </c>
      <c r="GG91" s="34" t="e">
        <f>AND(#REF!,"AAAAAH7p77w=")</f>
        <v>#REF!</v>
      </c>
      <c r="GH91" s="34" t="e">
        <f>AND(#REF!,"AAAAAH7p770=")</f>
        <v>#REF!</v>
      </c>
      <c r="GI91" s="34" t="e">
        <f>AND(#REF!,"AAAAAH7p774=")</f>
        <v>#REF!</v>
      </c>
      <c r="GJ91" s="34" t="e">
        <f>AND(#REF!,"AAAAAH7p778=")</f>
        <v>#REF!</v>
      </c>
      <c r="GK91" s="34" t="e">
        <f>IF(#REF!,"AAAAAH7p78A=",0)</f>
        <v>#REF!</v>
      </c>
      <c r="GL91" s="34" t="e">
        <f>AND(#REF!,"AAAAAH7p78E=")</f>
        <v>#REF!</v>
      </c>
      <c r="GM91" s="34" t="e">
        <f>AND(#REF!,"AAAAAH7p78I=")</f>
        <v>#REF!</v>
      </c>
      <c r="GN91" s="34" t="e">
        <f>AND(#REF!,"AAAAAH7p78M=")</f>
        <v>#REF!</v>
      </c>
      <c r="GO91" s="34" t="e">
        <f>AND(#REF!,"AAAAAH7p78Q=")</f>
        <v>#REF!</v>
      </c>
      <c r="GP91" s="34" t="e">
        <f>AND(#REF!,"AAAAAH7p78U=")</f>
        <v>#REF!</v>
      </c>
      <c r="GQ91" s="34" t="e">
        <f>AND(#REF!,"AAAAAH7p78Y=")</f>
        <v>#REF!</v>
      </c>
      <c r="GR91" s="34" t="e">
        <f>AND(#REF!,"AAAAAH7p78c=")</f>
        <v>#REF!</v>
      </c>
      <c r="GS91" s="34" t="e">
        <f>AND(#REF!,"AAAAAH7p78g=")</f>
        <v>#REF!</v>
      </c>
      <c r="GT91" s="34" t="e">
        <f>AND(#REF!,"AAAAAH7p78k=")</f>
        <v>#REF!</v>
      </c>
      <c r="GU91" s="34" t="e">
        <f>AND(#REF!,"AAAAAH7p78o=")</f>
        <v>#REF!</v>
      </c>
      <c r="GV91" s="34" t="e">
        <f>AND(#REF!,"AAAAAH7p78s=")</f>
        <v>#REF!</v>
      </c>
      <c r="GW91" s="34" t="e">
        <f>AND(#REF!,"AAAAAH7p78w=")</f>
        <v>#REF!</v>
      </c>
      <c r="GX91" s="34" t="e">
        <f>AND(#REF!,"AAAAAH7p780=")</f>
        <v>#REF!</v>
      </c>
      <c r="GY91" s="34" t="e">
        <f>AND(#REF!,"AAAAAH7p784=")</f>
        <v>#REF!</v>
      </c>
      <c r="GZ91" s="34" t="e">
        <f>AND(#REF!,"AAAAAH7p788=")</f>
        <v>#REF!</v>
      </c>
      <c r="HA91" s="34" t="e">
        <f>AND(#REF!,"AAAAAH7p79A=")</f>
        <v>#REF!</v>
      </c>
      <c r="HB91" s="34" t="e">
        <f>IF(#REF!,"AAAAAH7p79E=",0)</f>
        <v>#REF!</v>
      </c>
      <c r="HC91" s="34" t="e">
        <f>AND(#REF!,"AAAAAH7p79I=")</f>
        <v>#REF!</v>
      </c>
      <c r="HD91" s="34" t="e">
        <f>AND(#REF!,"AAAAAH7p79M=")</f>
        <v>#REF!</v>
      </c>
      <c r="HE91" s="34" t="e">
        <f>AND(#REF!,"AAAAAH7p79Q=")</f>
        <v>#REF!</v>
      </c>
      <c r="HF91" s="34" t="e">
        <f>AND(#REF!,"AAAAAH7p79U=")</f>
        <v>#REF!</v>
      </c>
      <c r="HG91" s="34" t="e">
        <f>AND(#REF!,"AAAAAH7p79Y=")</f>
        <v>#REF!</v>
      </c>
      <c r="HH91" s="34" t="e">
        <f>AND(#REF!,"AAAAAH7p79c=")</f>
        <v>#REF!</v>
      </c>
      <c r="HI91" s="34" t="e">
        <f>AND(#REF!,"AAAAAH7p79g=")</f>
        <v>#REF!</v>
      </c>
      <c r="HJ91" s="34" t="e">
        <f>AND(#REF!,"AAAAAH7p79k=")</f>
        <v>#REF!</v>
      </c>
      <c r="HK91" s="34" t="e">
        <f>AND(#REF!,"AAAAAH7p79o=")</f>
        <v>#REF!</v>
      </c>
      <c r="HL91" s="34" t="e">
        <f>AND(#REF!,"AAAAAH7p79s=")</f>
        <v>#REF!</v>
      </c>
      <c r="HM91" s="34" t="e">
        <f>AND(#REF!,"AAAAAH7p79w=")</f>
        <v>#REF!</v>
      </c>
      <c r="HN91" s="34" t="e">
        <f>AND(#REF!,"AAAAAH7p790=")</f>
        <v>#REF!</v>
      </c>
      <c r="HO91" s="34" t="e">
        <f>AND(#REF!,"AAAAAH7p794=")</f>
        <v>#REF!</v>
      </c>
      <c r="HP91" s="34" t="e">
        <f>AND(#REF!,"AAAAAH7p798=")</f>
        <v>#REF!</v>
      </c>
      <c r="HQ91" s="34" t="e">
        <f>AND(#REF!,"AAAAAH7p7+A=")</f>
        <v>#REF!</v>
      </c>
      <c r="HR91" s="34" t="e">
        <f>AND(#REF!,"AAAAAH7p7+E=")</f>
        <v>#REF!</v>
      </c>
      <c r="HS91" s="34" t="e">
        <f>IF(#REF!,"AAAAAH7p7+I=",0)</f>
        <v>#REF!</v>
      </c>
      <c r="HT91" s="34" t="e">
        <f>AND(#REF!,"AAAAAH7p7+M=")</f>
        <v>#REF!</v>
      </c>
      <c r="HU91" s="34" t="e">
        <f>AND(#REF!,"AAAAAH7p7+Q=")</f>
        <v>#REF!</v>
      </c>
      <c r="HV91" s="34" t="e">
        <f>AND(#REF!,"AAAAAH7p7+U=")</f>
        <v>#REF!</v>
      </c>
      <c r="HW91" s="34" t="e">
        <f>AND(#REF!,"AAAAAH7p7+Y=")</f>
        <v>#REF!</v>
      </c>
      <c r="HX91" s="34" t="e">
        <f>AND(#REF!,"AAAAAH7p7+c=")</f>
        <v>#REF!</v>
      </c>
      <c r="HY91" s="34" t="e">
        <f>AND(#REF!,"AAAAAH7p7+g=")</f>
        <v>#REF!</v>
      </c>
      <c r="HZ91" s="34" t="e">
        <f>AND(#REF!,"AAAAAH7p7+k=")</f>
        <v>#REF!</v>
      </c>
      <c r="IA91" s="34" t="e">
        <f>AND(#REF!,"AAAAAH7p7+o=")</f>
        <v>#REF!</v>
      </c>
      <c r="IB91" s="34" t="e">
        <f>AND(#REF!,"AAAAAH7p7+s=")</f>
        <v>#REF!</v>
      </c>
      <c r="IC91" s="34" t="e">
        <f>AND(#REF!,"AAAAAH7p7+w=")</f>
        <v>#REF!</v>
      </c>
      <c r="ID91" s="34" t="e">
        <f>AND(#REF!,"AAAAAH7p7+0=")</f>
        <v>#REF!</v>
      </c>
      <c r="IE91" s="34" t="e">
        <f>AND(#REF!,"AAAAAH7p7+4=")</f>
        <v>#REF!</v>
      </c>
      <c r="IF91" s="34" t="e">
        <f>AND(#REF!,"AAAAAH7p7+8=")</f>
        <v>#REF!</v>
      </c>
      <c r="IG91" s="34" t="e">
        <f>AND(#REF!,"AAAAAH7p7/A=")</f>
        <v>#REF!</v>
      </c>
      <c r="IH91" s="34" t="e">
        <f>AND(#REF!,"AAAAAH7p7/E=")</f>
        <v>#REF!</v>
      </c>
      <c r="II91" s="34" t="e">
        <f>AND(#REF!,"AAAAAH7p7/I=")</f>
        <v>#REF!</v>
      </c>
      <c r="IJ91" s="34" t="e">
        <f>IF(#REF!,"AAAAAH7p7/M=",0)</f>
        <v>#REF!</v>
      </c>
      <c r="IK91" s="34" t="e">
        <f>AND(#REF!,"AAAAAH7p7/Q=")</f>
        <v>#REF!</v>
      </c>
      <c r="IL91" s="34" t="e">
        <f>AND(#REF!,"AAAAAH7p7/U=")</f>
        <v>#REF!</v>
      </c>
      <c r="IM91" s="34" t="e">
        <f>AND(#REF!,"AAAAAH7p7/Y=")</f>
        <v>#REF!</v>
      </c>
      <c r="IN91" s="34" t="e">
        <f>AND(#REF!,"AAAAAH7p7/c=")</f>
        <v>#REF!</v>
      </c>
      <c r="IO91" s="34" t="e">
        <f>AND(#REF!,"AAAAAH7p7/g=")</f>
        <v>#REF!</v>
      </c>
      <c r="IP91" s="34" t="e">
        <f>AND(#REF!,"AAAAAH7p7/k=")</f>
        <v>#REF!</v>
      </c>
      <c r="IQ91" s="34" t="e">
        <f>AND(#REF!,"AAAAAH7p7/o=")</f>
        <v>#REF!</v>
      </c>
      <c r="IR91" s="34" t="e">
        <f>AND(#REF!,"AAAAAH7p7/s=")</f>
        <v>#REF!</v>
      </c>
      <c r="IS91" s="34" t="e">
        <f>AND(#REF!,"AAAAAH7p7/w=")</f>
        <v>#REF!</v>
      </c>
      <c r="IT91" s="34" t="e">
        <f>AND(#REF!,"AAAAAH7p7/0=")</f>
        <v>#REF!</v>
      </c>
      <c r="IU91" s="34" t="e">
        <f>AND(#REF!,"AAAAAH7p7/4=")</f>
        <v>#REF!</v>
      </c>
      <c r="IV91" s="34" t="e">
        <f>AND(#REF!,"AAAAAH7p7/8=")</f>
        <v>#REF!</v>
      </c>
    </row>
    <row r="92" spans="1:256" ht="12.75" customHeight="1" x14ac:dyDescent="0.2">
      <c r="A92" s="34" t="e">
        <f>AND(#REF!,"AAAAAG/5xwA=")</f>
        <v>#REF!</v>
      </c>
      <c r="B92" s="34" t="e">
        <f>AND(#REF!,"AAAAAG/5xwE=")</f>
        <v>#REF!</v>
      </c>
      <c r="C92" s="34" t="e">
        <f>AND(#REF!,"AAAAAG/5xwI=")</f>
        <v>#REF!</v>
      </c>
      <c r="D92" s="34" t="e">
        <f>AND(#REF!,"AAAAAG/5xwM=")</f>
        <v>#REF!</v>
      </c>
      <c r="E92" s="34" t="e">
        <f>IF(#REF!,"AAAAAG/5xwQ=",0)</f>
        <v>#REF!</v>
      </c>
      <c r="F92" s="34" t="e">
        <f>AND(#REF!,"AAAAAG/5xwU=")</f>
        <v>#REF!</v>
      </c>
      <c r="G92" s="34" t="e">
        <f>AND(#REF!,"AAAAAG/5xwY=")</f>
        <v>#REF!</v>
      </c>
      <c r="H92" s="34" t="e">
        <f>AND(#REF!,"AAAAAG/5xwc=")</f>
        <v>#REF!</v>
      </c>
      <c r="I92" s="34" t="e">
        <f>AND(#REF!,"AAAAAG/5xwg=")</f>
        <v>#REF!</v>
      </c>
      <c r="J92" s="34" t="e">
        <f>AND(#REF!,"AAAAAG/5xwk=")</f>
        <v>#REF!</v>
      </c>
      <c r="K92" s="34" t="e">
        <f>AND(#REF!,"AAAAAG/5xwo=")</f>
        <v>#REF!</v>
      </c>
      <c r="L92" s="34" t="e">
        <f>AND(#REF!,"AAAAAG/5xws=")</f>
        <v>#REF!</v>
      </c>
      <c r="M92" s="34" t="e">
        <f>AND(#REF!,"AAAAAG/5xww=")</f>
        <v>#REF!</v>
      </c>
      <c r="N92" s="34" t="e">
        <f>AND(#REF!,"AAAAAG/5xw0=")</f>
        <v>#REF!</v>
      </c>
      <c r="O92" s="34" t="e">
        <f>AND(#REF!,"AAAAAG/5xw4=")</f>
        <v>#REF!</v>
      </c>
      <c r="P92" s="34" t="e">
        <f>AND(#REF!,"AAAAAG/5xw8=")</f>
        <v>#REF!</v>
      </c>
      <c r="Q92" s="34" t="e">
        <f>AND(#REF!,"AAAAAG/5xxA=")</f>
        <v>#REF!</v>
      </c>
      <c r="R92" s="34" t="e">
        <f>AND(#REF!,"AAAAAG/5xxE=")</f>
        <v>#REF!</v>
      </c>
      <c r="S92" s="34" t="e">
        <f>AND(#REF!,"AAAAAG/5xxI=")</f>
        <v>#REF!</v>
      </c>
      <c r="T92" s="34" t="e">
        <f>AND(#REF!,"AAAAAG/5xxM=")</f>
        <v>#REF!</v>
      </c>
      <c r="U92" s="34" t="e">
        <f>AND(#REF!,"AAAAAG/5xxQ=")</f>
        <v>#REF!</v>
      </c>
      <c r="V92" s="34" t="e">
        <f>IF(#REF!,"AAAAAG/5xxU=",0)</f>
        <v>#REF!</v>
      </c>
      <c r="W92" s="34" t="e">
        <f>AND(#REF!,"AAAAAG/5xxY=")</f>
        <v>#REF!</v>
      </c>
      <c r="X92" s="34" t="e">
        <f>AND(#REF!,"AAAAAG/5xxc=")</f>
        <v>#REF!</v>
      </c>
      <c r="Y92" s="34" t="e">
        <f>AND(#REF!,"AAAAAG/5xxg=")</f>
        <v>#REF!</v>
      </c>
      <c r="Z92" s="34" t="e">
        <f>AND(#REF!,"AAAAAG/5xxk=")</f>
        <v>#REF!</v>
      </c>
      <c r="AA92" s="34" t="e">
        <f>AND(#REF!,"AAAAAG/5xxo=")</f>
        <v>#REF!</v>
      </c>
      <c r="AB92" s="34" t="e">
        <f>AND(#REF!,"AAAAAG/5xxs=")</f>
        <v>#REF!</v>
      </c>
      <c r="AC92" s="34" t="e">
        <f>AND(#REF!,"AAAAAG/5xxw=")</f>
        <v>#REF!</v>
      </c>
      <c r="AD92" s="34" t="e">
        <f>AND(#REF!,"AAAAAG/5xx0=")</f>
        <v>#REF!</v>
      </c>
      <c r="AE92" s="34" t="e">
        <f>AND(#REF!,"AAAAAG/5xx4=")</f>
        <v>#REF!</v>
      </c>
      <c r="AF92" s="34" t="e">
        <f>AND(#REF!,"AAAAAG/5xx8=")</f>
        <v>#REF!</v>
      </c>
      <c r="AG92" s="34" t="e">
        <f>AND(#REF!,"AAAAAG/5xyA=")</f>
        <v>#REF!</v>
      </c>
      <c r="AH92" s="34" t="e">
        <f>AND(#REF!,"AAAAAG/5xyE=")</f>
        <v>#REF!</v>
      </c>
      <c r="AI92" s="34" t="e">
        <f>AND(#REF!,"AAAAAG/5xyI=")</f>
        <v>#REF!</v>
      </c>
      <c r="AJ92" s="34" t="e">
        <f>AND(#REF!,"AAAAAG/5xyM=")</f>
        <v>#REF!</v>
      </c>
      <c r="AK92" s="34" t="e">
        <f>AND(#REF!,"AAAAAG/5xyQ=")</f>
        <v>#REF!</v>
      </c>
      <c r="AL92" s="34" t="e">
        <f>AND(#REF!,"AAAAAG/5xyU=")</f>
        <v>#REF!</v>
      </c>
      <c r="AM92" s="34" t="e">
        <f>IF(#REF!,"AAAAAG/5xyY=",0)</f>
        <v>#REF!</v>
      </c>
      <c r="AN92" s="34" t="e">
        <f>AND(#REF!,"AAAAAG/5xyc=")</f>
        <v>#REF!</v>
      </c>
      <c r="AO92" s="34" t="e">
        <f>AND(#REF!,"AAAAAG/5xyg=")</f>
        <v>#REF!</v>
      </c>
      <c r="AP92" s="34" t="e">
        <f>AND(#REF!,"AAAAAG/5xyk=")</f>
        <v>#REF!</v>
      </c>
      <c r="AQ92" s="34" t="e">
        <f>AND(#REF!,"AAAAAG/5xyo=")</f>
        <v>#REF!</v>
      </c>
      <c r="AR92" s="34" t="e">
        <f>AND(#REF!,"AAAAAG/5xys=")</f>
        <v>#REF!</v>
      </c>
      <c r="AS92" s="34" t="e">
        <f>AND(#REF!,"AAAAAG/5xyw=")</f>
        <v>#REF!</v>
      </c>
      <c r="AT92" s="34" t="e">
        <f>AND(#REF!,"AAAAAG/5xy0=")</f>
        <v>#REF!</v>
      </c>
      <c r="AU92" s="34" t="e">
        <f>AND(#REF!,"AAAAAG/5xy4=")</f>
        <v>#REF!</v>
      </c>
      <c r="AV92" s="34" t="e">
        <f>AND(#REF!,"AAAAAG/5xy8=")</f>
        <v>#REF!</v>
      </c>
      <c r="AW92" s="34" t="e">
        <f>AND(#REF!,"AAAAAG/5xzA=")</f>
        <v>#REF!</v>
      </c>
      <c r="AX92" s="34" t="e">
        <f>AND(#REF!,"AAAAAG/5xzE=")</f>
        <v>#REF!</v>
      </c>
      <c r="AY92" s="34" t="e">
        <f>AND(#REF!,"AAAAAG/5xzI=")</f>
        <v>#REF!</v>
      </c>
      <c r="AZ92" s="34" t="e">
        <f>AND(#REF!,"AAAAAG/5xzM=")</f>
        <v>#REF!</v>
      </c>
      <c r="BA92" s="34" t="e">
        <f>AND(#REF!,"AAAAAG/5xzQ=")</f>
        <v>#REF!</v>
      </c>
      <c r="BB92" s="34" t="e">
        <f>AND(#REF!,"AAAAAG/5xzU=")</f>
        <v>#REF!</v>
      </c>
      <c r="BC92" s="34" t="e">
        <f>AND(#REF!,"AAAAAG/5xzY=")</f>
        <v>#REF!</v>
      </c>
      <c r="BD92" s="34" t="e">
        <f>IF(#REF!,"AAAAAG/5xzc=",0)</f>
        <v>#REF!</v>
      </c>
      <c r="BE92" s="34" t="e">
        <f>AND(#REF!,"AAAAAG/5xzg=")</f>
        <v>#REF!</v>
      </c>
      <c r="BF92" s="34" t="e">
        <f>AND(#REF!,"AAAAAG/5xzk=")</f>
        <v>#REF!</v>
      </c>
      <c r="BG92" s="34" t="e">
        <f>AND(#REF!,"AAAAAG/5xzo=")</f>
        <v>#REF!</v>
      </c>
      <c r="BH92" s="34" t="e">
        <f>AND(#REF!,"AAAAAG/5xzs=")</f>
        <v>#REF!</v>
      </c>
      <c r="BI92" s="34" t="e">
        <f>AND(#REF!,"AAAAAG/5xzw=")</f>
        <v>#REF!</v>
      </c>
      <c r="BJ92" s="34" t="e">
        <f>AND(#REF!,"AAAAAG/5xz0=")</f>
        <v>#REF!</v>
      </c>
      <c r="BK92" s="34" t="e">
        <f>AND(#REF!,"AAAAAG/5xz4=")</f>
        <v>#REF!</v>
      </c>
      <c r="BL92" s="34" t="e">
        <f>AND(#REF!,"AAAAAG/5xz8=")</f>
        <v>#REF!</v>
      </c>
      <c r="BM92" s="34" t="e">
        <f>AND(#REF!,"AAAAAG/5x0A=")</f>
        <v>#REF!</v>
      </c>
      <c r="BN92" s="34" t="e">
        <f>AND(#REF!,"AAAAAG/5x0E=")</f>
        <v>#REF!</v>
      </c>
      <c r="BO92" s="34" t="e">
        <f>AND(#REF!,"AAAAAG/5x0I=")</f>
        <v>#REF!</v>
      </c>
      <c r="BP92" s="34" t="e">
        <f>AND(#REF!,"AAAAAG/5x0M=")</f>
        <v>#REF!</v>
      </c>
      <c r="BQ92" s="34" t="e">
        <f>AND(#REF!,"AAAAAG/5x0Q=")</f>
        <v>#REF!</v>
      </c>
      <c r="BR92" s="34" t="e">
        <f>AND(#REF!,"AAAAAG/5x0U=")</f>
        <v>#REF!</v>
      </c>
      <c r="BS92" s="34" t="e">
        <f>AND(#REF!,"AAAAAG/5x0Y=")</f>
        <v>#REF!</v>
      </c>
      <c r="BT92" s="34" t="e">
        <f>AND(#REF!,"AAAAAG/5x0c=")</f>
        <v>#REF!</v>
      </c>
      <c r="BU92" s="34" t="e">
        <f>IF(#REF!,"AAAAAG/5x0g=",0)</f>
        <v>#REF!</v>
      </c>
      <c r="BV92" s="34" t="e">
        <f>AND(#REF!,"AAAAAG/5x0k=")</f>
        <v>#REF!</v>
      </c>
      <c r="BW92" s="34" t="e">
        <f>AND(#REF!,"AAAAAG/5x0o=")</f>
        <v>#REF!</v>
      </c>
      <c r="BX92" s="34" t="e">
        <f>AND(#REF!,"AAAAAG/5x0s=")</f>
        <v>#REF!</v>
      </c>
      <c r="BY92" s="34" t="e">
        <f>AND(#REF!,"AAAAAG/5x0w=")</f>
        <v>#REF!</v>
      </c>
      <c r="BZ92" s="34" t="e">
        <f>AND(#REF!,"AAAAAG/5x00=")</f>
        <v>#REF!</v>
      </c>
      <c r="CA92" s="34" t="e">
        <f>AND(#REF!,"AAAAAG/5x04=")</f>
        <v>#REF!</v>
      </c>
      <c r="CB92" s="34" t="e">
        <f>AND(#REF!,"AAAAAG/5x08=")</f>
        <v>#REF!</v>
      </c>
      <c r="CC92" s="34" t="e">
        <f>AND(#REF!,"AAAAAG/5x1A=")</f>
        <v>#REF!</v>
      </c>
      <c r="CD92" s="34" t="e">
        <f>AND(#REF!,"AAAAAG/5x1E=")</f>
        <v>#REF!</v>
      </c>
      <c r="CE92" s="34" t="e">
        <f>AND(#REF!,"AAAAAG/5x1I=")</f>
        <v>#REF!</v>
      </c>
      <c r="CF92" s="34" t="e">
        <f>AND(#REF!,"AAAAAG/5x1M=")</f>
        <v>#REF!</v>
      </c>
      <c r="CG92" s="34" t="e">
        <f>AND(#REF!,"AAAAAG/5x1Q=")</f>
        <v>#REF!</v>
      </c>
      <c r="CH92" s="34" t="e">
        <f>AND(#REF!,"AAAAAG/5x1U=")</f>
        <v>#REF!</v>
      </c>
      <c r="CI92" s="34" t="e">
        <f>AND(#REF!,"AAAAAG/5x1Y=")</f>
        <v>#REF!</v>
      </c>
      <c r="CJ92" s="34" t="e">
        <f>AND(#REF!,"AAAAAG/5x1c=")</f>
        <v>#REF!</v>
      </c>
      <c r="CK92" s="34" t="e">
        <f>AND(#REF!,"AAAAAG/5x1g=")</f>
        <v>#REF!</v>
      </c>
      <c r="CL92" s="34" t="e">
        <f>IF(#REF!,"AAAAAG/5x1k=",0)</f>
        <v>#REF!</v>
      </c>
      <c r="CM92" s="34" t="e">
        <f>AND(#REF!,"AAAAAG/5x1o=")</f>
        <v>#REF!</v>
      </c>
      <c r="CN92" s="34" t="e">
        <f>AND(#REF!,"AAAAAG/5x1s=")</f>
        <v>#REF!</v>
      </c>
      <c r="CO92" s="34" t="e">
        <f>AND(#REF!,"AAAAAG/5x1w=")</f>
        <v>#REF!</v>
      </c>
      <c r="CP92" s="34" t="e">
        <f>AND(#REF!,"AAAAAG/5x10=")</f>
        <v>#REF!</v>
      </c>
      <c r="CQ92" s="34" t="e">
        <f>AND(#REF!,"AAAAAG/5x14=")</f>
        <v>#REF!</v>
      </c>
      <c r="CR92" s="34" t="e">
        <f>AND(#REF!,"AAAAAG/5x18=")</f>
        <v>#REF!</v>
      </c>
      <c r="CS92" s="34" t="e">
        <f>AND(#REF!,"AAAAAG/5x2A=")</f>
        <v>#REF!</v>
      </c>
      <c r="CT92" s="34" t="e">
        <f>AND(#REF!,"AAAAAG/5x2E=")</f>
        <v>#REF!</v>
      </c>
      <c r="CU92" s="34" t="e">
        <f>AND(#REF!,"AAAAAG/5x2I=")</f>
        <v>#REF!</v>
      </c>
      <c r="CV92" s="34" t="e">
        <f>AND(#REF!,"AAAAAG/5x2M=")</f>
        <v>#REF!</v>
      </c>
      <c r="CW92" s="34" t="e">
        <f>AND(#REF!,"AAAAAG/5x2Q=")</f>
        <v>#REF!</v>
      </c>
      <c r="CX92" s="34" t="e">
        <f>AND(#REF!,"AAAAAG/5x2U=")</f>
        <v>#REF!</v>
      </c>
      <c r="CY92" s="34" t="e">
        <f>AND(#REF!,"AAAAAG/5x2Y=")</f>
        <v>#REF!</v>
      </c>
      <c r="CZ92" s="34" t="e">
        <f>AND(#REF!,"AAAAAG/5x2c=")</f>
        <v>#REF!</v>
      </c>
      <c r="DA92" s="34" t="e">
        <f>AND(#REF!,"AAAAAG/5x2g=")</f>
        <v>#REF!</v>
      </c>
      <c r="DB92" s="34" t="e">
        <f>AND(#REF!,"AAAAAG/5x2k=")</f>
        <v>#REF!</v>
      </c>
      <c r="DC92" s="34" t="e">
        <f>IF(#REF!,"AAAAAG/5x2o=",0)</f>
        <v>#REF!</v>
      </c>
      <c r="DD92" s="34" t="e">
        <f>AND(#REF!,"AAAAAG/5x2s=")</f>
        <v>#REF!</v>
      </c>
      <c r="DE92" s="34" t="e">
        <f>AND(#REF!,"AAAAAG/5x2w=")</f>
        <v>#REF!</v>
      </c>
      <c r="DF92" s="34" t="e">
        <f>AND(#REF!,"AAAAAG/5x20=")</f>
        <v>#REF!</v>
      </c>
      <c r="DG92" s="34" t="e">
        <f>AND(#REF!,"AAAAAG/5x24=")</f>
        <v>#REF!</v>
      </c>
      <c r="DH92" s="34" t="e">
        <f>AND(#REF!,"AAAAAG/5x28=")</f>
        <v>#REF!</v>
      </c>
      <c r="DI92" s="34" t="e">
        <f>AND(#REF!,"AAAAAG/5x3A=")</f>
        <v>#REF!</v>
      </c>
      <c r="DJ92" s="34" t="e">
        <f>AND(#REF!,"AAAAAG/5x3E=")</f>
        <v>#REF!</v>
      </c>
      <c r="DK92" s="34" t="e">
        <f>AND(#REF!,"AAAAAG/5x3I=")</f>
        <v>#REF!</v>
      </c>
      <c r="DL92" s="34" t="e">
        <f>AND(#REF!,"AAAAAG/5x3M=")</f>
        <v>#REF!</v>
      </c>
      <c r="DM92" s="34" t="e">
        <f>AND(#REF!,"AAAAAG/5x3Q=")</f>
        <v>#REF!</v>
      </c>
      <c r="DN92" s="34" t="e">
        <f>AND(#REF!,"AAAAAG/5x3U=")</f>
        <v>#REF!</v>
      </c>
      <c r="DO92" s="34" t="e">
        <f>AND(#REF!,"AAAAAG/5x3Y=")</f>
        <v>#REF!</v>
      </c>
      <c r="DP92" s="34" t="e">
        <f>AND(#REF!,"AAAAAG/5x3c=")</f>
        <v>#REF!</v>
      </c>
      <c r="DQ92" s="34" t="e">
        <f>AND(#REF!,"AAAAAG/5x3g=")</f>
        <v>#REF!</v>
      </c>
      <c r="DR92" s="34" t="e">
        <f>AND(#REF!,"AAAAAG/5x3k=")</f>
        <v>#REF!</v>
      </c>
      <c r="DS92" s="34" t="e">
        <f>AND(#REF!,"AAAAAG/5x3o=")</f>
        <v>#REF!</v>
      </c>
      <c r="DT92" s="34" t="e">
        <f>IF(#REF!,"AAAAAG/5x3s=",0)</f>
        <v>#REF!</v>
      </c>
      <c r="DU92" s="34" t="e">
        <f>AND(#REF!,"AAAAAG/5x3w=")</f>
        <v>#REF!</v>
      </c>
      <c r="DV92" s="34" t="e">
        <f>AND(#REF!,"AAAAAG/5x30=")</f>
        <v>#REF!</v>
      </c>
      <c r="DW92" s="34" t="e">
        <f>AND(#REF!,"AAAAAG/5x34=")</f>
        <v>#REF!</v>
      </c>
      <c r="DX92" s="34" t="e">
        <f>AND(#REF!,"AAAAAG/5x38=")</f>
        <v>#REF!</v>
      </c>
      <c r="DY92" s="34" t="e">
        <f>AND(#REF!,"AAAAAG/5x4A=")</f>
        <v>#REF!</v>
      </c>
      <c r="DZ92" s="34" t="e">
        <f>AND(#REF!,"AAAAAG/5x4E=")</f>
        <v>#REF!</v>
      </c>
      <c r="EA92" s="34" t="e">
        <f>AND(#REF!,"AAAAAG/5x4I=")</f>
        <v>#REF!</v>
      </c>
      <c r="EB92" s="34" t="e">
        <f>AND(#REF!,"AAAAAG/5x4M=")</f>
        <v>#REF!</v>
      </c>
      <c r="EC92" s="34" t="e">
        <f>AND(#REF!,"AAAAAG/5x4Q=")</f>
        <v>#REF!</v>
      </c>
      <c r="ED92" s="34" t="e">
        <f>AND(#REF!,"AAAAAG/5x4U=")</f>
        <v>#REF!</v>
      </c>
      <c r="EE92" s="34" t="e">
        <f>AND(#REF!,"AAAAAG/5x4Y=")</f>
        <v>#REF!</v>
      </c>
      <c r="EF92" s="34" t="e">
        <f>AND(#REF!,"AAAAAG/5x4c=")</f>
        <v>#REF!</v>
      </c>
      <c r="EG92" s="34" t="e">
        <f>AND(#REF!,"AAAAAG/5x4g=")</f>
        <v>#REF!</v>
      </c>
      <c r="EH92" s="34" t="e">
        <f>AND(#REF!,"AAAAAG/5x4k=")</f>
        <v>#REF!</v>
      </c>
      <c r="EI92" s="34" t="e">
        <f>AND(#REF!,"AAAAAG/5x4o=")</f>
        <v>#REF!</v>
      </c>
      <c r="EJ92" s="34" t="e">
        <f>AND(#REF!,"AAAAAG/5x4s=")</f>
        <v>#REF!</v>
      </c>
      <c r="EK92" s="34" t="e">
        <f>IF(#REF!,"AAAAAG/5x4w=",0)</f>
        <v>#REF!</v>
      </c>
      <c r="EL92" s="34" t="e">
        <f>AND(#REF!,"AAAAAG/5x40=")</f>
        <v>#REF!</v>
      </c>
      <c r="EM92" s="34" t="e">
        <f>AND(#REF!,"AAAAAG/5x44=")</f>
        <v>#REF!</v>
      </c>
      <c r="EN92" s="34" t="e">
        <f>AND(#REF!,"AAAAAG/5x48=")</f>
        <v>#REF!</v>
      </c>
      <c r="EO92" s="34" t="e">
        <f>AND(#REF!,"AAAAAG/5x5A=")</f>
        <v>#REF!</v>
      </c>
      <c r="EP92" s="34" t="e">
        <f>AND(#REF!,"AAAAAG/5x5E=")</f>
        <v>#REF!</v>
      </c>
      <c r="EQ92" s="34" t="e">
        <f>AND(#REF!,"AAAAAG/5x5I=")</f>
        <v>#REF!</v>
      </c>
      <c r="ER92" s="34" t="e">
        <f>AND(#REF!,"AAAAAG/5x5M=")</f>
        <v>#REF!</v>
      </c>
      <c r="ES92" s="34" t="e">
        <f>AND(#REF!,"AAAAAG/5x5Q=")</f>
        <v>#REF!</v>
      </c>
      <c r="ET92" s="34" t="e">
        <f>AND(#REF!,"AAAAAG/5x5U=")</f>
        <v>#REF!</v>
      </c>
      <c r="EU92" s="34" t="e">
        <f>AND(#REF!,"AAAAAG/5x5Y=")</f>
        <v>#REF!</v>
      </c>
      <c r="EV92" s="34" t="e">
        <f>AND(#REF!,"AAAAAG/5x5c=")</f>
        <v>#REF!</v>
      </c>
      <c r="EW92" s="34" t="e">
        <f>AND(#REF!,"AAAAAG/5x5g=")</f>
        <v>#REF!</v>
      </c>
      <c r="EX92" s="34" t="e">
        <f>AND(#REF!,"AAAAAG/5x5k=")</f>
        <v>#REF!</v>
      </c>
      <c r="EY92" s="34" t="e">
        <f>AND(#REF!,"AAAAAG/5x5o=")</f>
        <v>#REF!</v>
      </c>
      <c r="EZ92" s="34" t="e">
        <f>AND(#REF!,"AAAAAG/5x5s=")</f>
        <v>#REF!</v>
      </c>
      <c r="FA92" s="34" t="e">
        <f>AND(#REF!,"AAAAAG/5x5w=")</f>
        <v>#REF!</v>
      </c>
      <c r="FB92" s="34" t="e">
        <f>IF(#REF!,"AAAAAG/5x50=",0)</f>
        <v>#REF!</v>
      </c>
      <c r="FC92" s="34" t="e">
        <f>AND(#REF!,"AAAAAG/5x54=")</f>
        <v>#REF!</v>
      </c>
      <c r="FD92" s="34" t="e">
        <f>AND(#REF!,"AAAAAG/5x58=")</f>
        <v>#REF!</v>
      </c>
      <c r="FE92" s="34" t="e">
        <f>AND(#REF!,"AAAAAG/5x6A=")</f>
        <v>#REF!</v>
      </c>
      <c r="FF92" s="34" t="e">
        <f>AND(#REF!,"AAAAAG/5x6E=")</f>
        <v>#REF!</v>
      </c>
      <c r="FG92" s="34" t="e">
        <f>AND(#REF!,"AAAAAG/5x6I=")</f>
        <v>#REF!</v>
      </c>
      <c r="FH92" s="34" t="e">
        <f>AND(#REF!,"AAAAAG/5x6M=")</f>
        <v>#REF!</v>
      </c>
      <c r="FI92" s="34" t="e">
        <f>AND(#REF!,"AAAAAG/5x6Q=")</f>
        <v>#REF!</v>
      </c>
      <c r="FJ92" s="34" t="e">
        <f>AND(#REF!,"AAAAAG/5x6U=")</f>
        <v>#REF!</v>
      </c>
      <c r="FK92" s="34" t="e">
        <f>AND(#REF!,"AAAAAG/5x6Y=")</f>
        <v>#REF!</v>
      </c>
      <c r="FL92" s="34" t="e">
        <f>AND(#REF!,"AAAAAG/5x6c=")</f>
        <v>#REF!</v>
      </c>
      <c r="FM92" s="34" t="e">
        <f>AND(#REF!,"AAAAAG/5x6g=")</f>
        <v>#REF!</v>
      </c>
      <c r="FN92" s="34" t="e">
        <f>AND(#REF!,"AAAAAG/5x6k=")</f>
        <v>#REF!</v>
      </c>
      <c r="FO92" s="34" t="e">
        <f>AND(#REF!,"AAAAAG/5x6o=")</f>
        <v>#REF!</v>
      </c>
      <c r="FP92" s="34" t="e">
        <f>AND(#REF!,"AAAAAG/5x6s=")</f>
        <v>#REF!</v>
      </c>
      <c r="FQ92" s="34" t="e">
        <f>AND(#REF!,"AAAAAG/5x6w=")</f>
        <v>#REF!</v>
      </c>
      <c r="FR92" s="34" t="e">
        <f>AND(#REF!,"AAAAAG/5x60=")</f>
        <v>#REF!</v>
      </c>
      <c r="FS92" s="34" t="e">
        <f>IF(#REF!,"AAAAAG/5x64=",0)</f>
        <v>#REF!</v>
      </c>
      <c r="FT92" s="34" t="e">
        <f>AND(#REF!,"AAAAAG/5x68=")</f>
        <v>#REF!</v>
      </c>
      <c r="FU92" s="34" t="e">
        <f>AND(#REF!,"AAAAAG/5x7A=")</f>
        <v>#REF!</v>
      </c>
      <c r="FV92" s="34" t="e">
        <f>AND(#REF!,"AAAAAG/5x7E=")</f>
        <v>#REF!</v>
      </c>
      <c r="FW92" s="34" t="e">
        <f>AND(#REF!,"AAAAAG/5x7I=")</f>
        <v>#REF!</v>
      </c>
      <c r="FX92" s="34" t="e">
        <f>AND(#REF!,"AAAAAG/5x7M=")</f>
        <v>#REF!</v>
      </c>
      <c r="FY92" s="34" t="e">
        <f>AND(#REF!,"AAAAAG/5x7Q=")</f>
        <v>#REF!</v>
      </c>
      <c r="FZ92" s="34" t="e">
        <f>AND(#REF!,"AAAAAG/5x7U=")</f>
        <v>#REF!</v>
      </c>
      <c r="GA92" s="34" t="e">
        <f>AND(#REF!,"AAAAAG/5x7Y=")</f>
        <v>#REF!</v>
      </c>
      <c r="GB92" s="34" t="e">
        <f>AND(#REF!,"AAAAAG/5x7c=")</f>
        <v>#REF!</v>
      </c>
      <c r="GC92" s="34" t="e">
        <f>AND(#REF!,"AAAAAG/5x7g=")</f>
        <v>#REF!</v>
      </c>
      <c r="GD92" s="34" t="e">
        <f>AND(#REF!,"AAAAAG/5x7k=")</f>
        <v>#REF!</v>
      </c>
      <c r="GE92" s="34" t="e">
        <f>AND(#REF!,"AAAAAG/5x7o=")</f>
        <v>#REF!</v>
      </c>
      <c r="GF92" s="34" t="e">
        <f>AND(#REF!,"AAAAAG/5x7s=")</f>
        <v>#REF!</v>
      </c>
      <c r="GG92" s="34" t="e">
        <f>AND(#REF!,"AAAAAG/5x7w=")</f>
        <v>#REF!</v>
      </c>
      <c r="GH92" s="34" t="e">
        <f>AND(#REF!,"AAAAAG/5x70=")</f>
        <v>#REF!</v>
      </c>
      <c r="GI92" s="34" t="e">
        <f>AND(#REF!,"AAAAAG/5x74=")</f>
        <v>#REF!</v>
      </c>
      <c r="GJ92" s="34" t="e">
        <f>IF(#REF!,"AAAAAG/5x78=",0)</f>
        <v>#REF!</v>
      </c>
      <c r="GK92" s="34" t="e">
        <f>AND(#REF!,"AAAAAG/5x8A=")</f>
        <v>#REF!</v>
      </c>
      <c r="GL92" s="34" t="e">
        <f>AND(#REF!,"AAAAAG/5x8E=")</f>
        <v>#REF!</v>
      </c>
      <c r="GM92" s="34" t="e">
        <f>AND(#REF!,"AAAAAG/5x8I=")</f>
        <v>#REF!</v>
      </c>
      <c r="GN92" s="34" t="e">
        <f>AND(#REF!,"AAAAAG/5x8M=")</f>
        <v>#REF!</v>
      </c>
      <c r="GO92" s="34" t="e">
        <f>AND(#REF!,"AAAAAG/5x8Q=")</f>
        <v>#REF!</v>
      </c>
      <c r="GP92" s="34" t="e">
        <f>AND(#REF!,"AAAAAG/5x8U=")</f>
        <v>#REF!</v>
      </c>
      <c r="GQ92" s="34" t="e">
        <f>AND(#REF!,"AAAAAG/5x8Y=")</f>
        <v>#REF!</v>
      </c>
      <c r="GR92" s="34" t="e">
        <f>AND(#REF!,"AAAAAG/5x8c=")</f>
        <v>#REF!</v>
      </c>
      <c r="GS92" s="34" t="e">
        <f>AND(#REF!,"AAAAAG/5x8g=")</f>
        <v>#REF!</v>
      </c>
      <c r="GT92" s="34" t="e">
        <f>AND(#REF!,"AAAAAG/5x8k=")</f>
        <v>#REF!</v>
      </c>
      <c r="GU92" s="34" t="e">
        <f>AND(#REF!,"AAAAAG/5x8o=")</f>
        <v>#REF!</v>
      </c>
      <c r="GV92" s="34" t="e">
        <f>AND(#REF!,"AAAAAG/5x8s=")</f>
        <v>#REF!</v>
      </c>
      <c r="GW92" s="34" t="e">
        <f>AND(#REF!,"AAAAAG/5x8w=")</f>
        <v>#REF!</v>
      </c>
      <c r="GX92" s="34" t="e">
        <f>AND(#REF!,"AAAAAG/5x80=")</f>
        <v>#REF!</v>
      </c>
      <c r="GY92" s="34" t="e">
        <f>AND(#REF!,"AAAAAG/5x84=")</f>
        <v>#REF!</v>
      </c>
      <c r="GZ92" s="34" t="e">
        <f>AND(#REF!,"AAAAAG/5x88=")</f>
        <v>#REF!</v>
      </c>
      <c r="HA92" s="34" t="e">
        <f>IF(#REF!,"AAAAAG/5x9A=",0)</f>
        <v>#REF!</v>
      </c>
      <c r="HB92" s="34" t="e">
        <f>AND(#REF!,"AAAAAG/5x9E=")</f>
        <v>#REF!</v>
      </c>
      <c r="HC92" s="34" t="e">
        <f>AND(#REF!,"AAAAAG/5x9I=")</f>
        <v>#REF!</v>
      </c>
      <c r="HD92" s="34" t="e">
        <f>AND(#REF!,"AAAAAG/5x9M=")</f>
        <v>#REF!</v>
      </c>
      <c r="HE92" s="34" t="e">
        <f>AND(#REF!,"AAAAAG/5x9Q=")</f>
        <v>#REF!</v>
      </c>
      <c r="HF92" s="34" t="e">
        <f>AND(#REF!,"AAAAAG/5x9U=")</f>
        <v>#REF!</v>
      </c>
      <c r="HG92" s="34" t="e">
        <f>AND(#REF!,"AAAAAG/5x9Y=")</f>
        <v>#REF!</v>
      </c>
      <c r="HH92" s="34" t="e">
        <f>AND(#REF!,"AAAAAG/5x9c=")</f>
        <v>#REF!</v>
      </c>
      <c r="HI92" s="34" t="e">
        <f>AND(#REF!,"AAAAAG/5x9g=")</f>
        <v>#REF!</v>
      </c>
      <c r="HJ92" s="34" t="e">
        <f>AND(#REF!,"AAAAAG/5x9k=")</f>
        <v>#REF!</v>
      </c>
      <c r="HK92" s="34" t="e">
        <f>AND(#REF!,"AAAAAG/5x9o=")</f>
        <v>#REF!</v>
      </c>
      <c r="HL92" s="34" t="e">
        <f>AND(#REF!,"AAAAAG/5x9s=")</f>
        <v>#REF!</v>
      </c>
      <c r="HM92" s="34" t="e">
        <f>AND(#REF!,"AAAAAG/5x9w=")</f>
        <v>#REF!</v>
      </c>
      <c r="HN92" s="34" t="e">
        <f>AND(#REF!,"AAAAAG/5x90=")</f>
        <v>#REF!</v>
      </c>
      <c r="HO92" s="34" t="e">
        <f>AND(#REF!,"AAAAAG/5x94=")</f>
        <v>#REF!</v>
      </c>
      <c r="HP92" s="34" t="e">
        <f>AND(#REF!,"AAAAAG/5x98=")</f>
        <v>#REF!</v>
      </c>
      <c r="HQ92" s="34" t="e">
        <f>AND(#REF!,"AAAAAG/5x+A=")</f>
        <v>#REF!</v>
      </c>
      <c r="HR92" s="34" t="e">
        <f>IF(#REF!,"AAAAAG/5x+E=",0)</f>
        <v>#REF!</v>
      </c>
      <c r="HS92" s="34" t="e">
        <f>AND(#REF!,"AAAAAG/5x+I=")</f>
        <v>#REF!</v>
      </c>
      <c r="HT92" s="34" t="e">
        <f>AND(#REF!,"AAAAAG/5x+M=")</f>
        <v>#REF!</v>
      </c>
      <c r="HU92" s="34" t="e">
        <f>AND(#REF!,"AAAAAG/5x+Q=")</f>
        <v>#REF!</v>
      </c>
      <c r="HV92" s="34" t="e">
        <f>AND(#REF!,"AAAAAG/5x+U=")</f>
        <v>#REF!</v>
      </c>
      <c r="HW92" s="34" t="e">
        <f>AND(#REF!,"AAAAAG/5x+Y=")</f>
        <v>#REF!</v>
      </c>
      <c r="HX92" s="34" t="e">
        <f>AND(#REF!,"AAAAAG/5x+c=")</f>
        <v>#REF!</v>
      </c>
      <c r="HY92" s="34" t="e">
        <f>AND(#REF!,"AAAAAG/5x+g=")</f>
        <v>#REF!</v>
      </c>
      <c r="HZ92" s="34" t="e">
        <f>AND(#REF!,"AAAAAG/5x+k=")</f>
        <v>#REF!</v>
      </c>
      <c r="IA92" s="34" t="e">
        <f>AND(#REF!,"AAAAAG/5x+o=")</f>
        <v>#REF!</v>
      </c>
      <c r="IB92" s="34" t="e">
        <f>AND(#REF!,"AAAAAG/5x+s=")</f>
        <v>#REF!</v>
      </c>
      <c r="IC92" s="34" t="e">
        <f>AND(#REF!,"AAAAAG/5x+w=")</f>
        <v>#REF!</v>
      </c>
      <c r="ID92" s="34" t="e">
        <f>AND(#REF!,"AAAAAG/5x+0=")</f>
        <v>#REF!</v>
      </c>
      <c r="IE92" s="34" t="e">
        <f>AND(#REF!,"AAAAAG/5x+4=")</f>
        <v>#REF!</v>
      </c>
      <c r="IF92" s="34" t="e">
        <f>AND(#REF!,"AAAAAG/5x+8=")</f>
        <v>#REF!</v>
      </c>
      <c r="IG92" s="34" t="e">
        <f>AND(#REF!,"AAAAAG/5x/A=")</f>
        <v>#REF!</v>
      </c>
      <c r="IH92" s="34" t="e">
        <f>AND(#REF!,"AAAAAG/5x/E=")</f>
        <v>#REF!</v>
      </c>
      <c r="II92" s="34" t="e">
        <f>IF(#REF!,"AAAAAG/5x/I=",0)</f>
        <v>#REF!</v>
      </c>
      <c r="IJ92" s="34" t="e">
        <f>AND(#REF!,"AAAAAG/5x/M=")</f>
        <v>#REF!</v>
      </c>
      <c r="IK92" s="34" t="e">
        <f>AND(#REF!,"AAAAAG/5x/Q=")</f>
        <v>#REF!</v>
      </c>
      <c r="IL92" s="34" t="e">
        <f>AND(#REF!,"AAAAAG/5x/U=")</f>
        <v>#REF!</v>
      </c>
      <c r="IM92" s="34" t="e">
        <f>AND(#REF!,"AAAAAG/5x/Y=")</f>
        <v>#REF!</v>
      </c>
      <c r="IN92" s="34" t="e">
        <f>AND(#REF!,"AAAAAG/5x/c=")</f>
        <v>#REF!</v>
      </c>
      <c r="IO92" s="34" t="e">
        <f>AND(#REF!,"AAAAAG/5x/g=")</f>
        <v>#REF!</v>
      </c>
      <c r="IP92" s="34" t="e">
        <f>AND(#REF!,"AAAAAG/5x/k=")</f>
        <v>#REF!</v>
      </c>
      <c r="IQ92" s="34" t="e">
        <f>AND(#REF!,"AAAAAG/5x/o=")</f>
        <v>#REF!</v>
      </c>
      <c r="IR92" s="34" t="e">
        <f>AND(#REF!,"AAAAAG/5x/s=")</f>
        <v>#REF!</v>
      </c>
      <c r="IS92" s="34" t="e">
        <f>AND(#REF!,"AAAAAG/5x/w=")</f>
        <v>#REF!</v>
      </c>
      <c r="IT92" s="34" t="e">
        <f>AND(#REF!,"AAAAAG/5x/0=")</f>
        <v>#REF!</v>
      </c>
      <c r="IU92" s="34" t="e">
        <f>AND(#REF!,"AAAAAG/5x/4=")</f>
        <v>#REF!</v>
      </c>
      <c r="IV92" s="34" t="e">
        <f>AND(#REF!,"AAAAAG/5x/8=")</f>
        <v>#REF!</v>
      </c>
    </row>
    <row r="93" spans="1:256" ht="12.75" customHeight="1" x14ac:dyDescent="0.2">
      <c r="A93" s="34" t="e">
        <f>AND(#REF!,"AAAAAH/7RgA=")</f>
        <v>#REF!</v>
      </c>
      <c r="B93" s="34" t="e">
        <f>AND(#REF!,"AAAAAH/7RgE=")</f>
        <v>#REF!</v>
      </c>
      <c r="C93" s="34" t="e">
        <f>AND(#REF!,"AAAAAH/7RgI=")</f>
        <v>#REF!</v>
      </c>
      <c r="D93" s="34" t="e">
        <f>IF(#REF!,"AAAAAH/7RgM=",0)</f>
        <v>#REF!</v>
      </c>
      <c r="E93" s="34" t="e">
        <f>AND(#REF!,"AAAAAH/7RgQ=")</f>
        <v>#REF!</v>
      </c>
      <c r="F93" s="34" t="e">
        <f>AND(#REF!,"AAAAAH/7RgU=")</f>
        <v>#REF!</v>
      </c>
      <c r="G93" s="34" t="e">
        <f>AND(#REF!,"AAAAAH/7RgY=")</f>
        <v>#REF!</v>
      </c>
      <c r="H93" s="34" t="e">
        <f>AND(#REF!,"AAAAAH/7Rgc=")</f>
        <v>#REF!</v>
      </c>
      <c r="I93" s="34" t="e">
        <f>AND(#REF!,"AAAAAH/7Rgg=")</f>
        <v>#REF!</v>
      </c>
      <c r="J93" s="34" t="e">
        <f>AND(#REF!,"AAAAAH/7Rgk=")</f>
        <v>#REF!</v>
      </c>
      <c r="K93" s="34" t="e">
        <f>AND(#REF!,"AAAAAH/7Rgo=")</f>
        <v>#REF!</v>
      </c>
      <c r="L93" s="34" t="e">
        <f>AND(#REF!,"AAAAAH/7Rgs=")</f>
        <v>#REF!</v>
      </c>
      <c r="M93" s="34" t="e">
        <f>AND(#REF!,"AAAAAH/7Rgw=")</f>
        <v>#REF!</v>
      </c>
      <c r="N93" s="34" t="e">
        <f>AND(#REF!,"AAAAAH/7Rg0=")</f>
        <v>#REF!</v>
      </c>
      <c r="O93" s="34" t="e">
        <f>AND(#REF!,"AAAAAH/7Rg4=")</f>
        <v>#REF!</v>
      </c>
      <c r="P93" s="34" t="e">
        <f>AND(#REF!,"AAAAAH/7Rg8=")</f>
        <v>#REF!</v>
      </c>
      <c r="Q93" s="34" t="e">
        <f>AND(#REF!,"AAAAAH/7RhA=")</f>
        <v>#REF!</v>
      </c>
      <c r="R93" s="34" t="e">
        <f>AND(#REF!,"AAAAAH/7RhE=")</f>
        <v>#REF!</v>
      </c>
      <c r="S93" s="34" t="e">
        <f>AND(#REF!,"AAAAAH/7RhI=")</f>
        <v>#REF!</v>
      </c>
      <c r="T93" s="34" t="e">
        <f>AND(#REF!,"AAAAAH/7RhM=")</f>
        <v>#REF!</v>
      </c>
      <c r="U93" s="34" t="e">
        <f>IF(#REF!,"AAAAAH/7RhQ=",0)</f>
        <v>#REF!</v>
      </c>
      <c r="V93" s="34" t="e">
        <f>AND(#REF!,"AAAAAH/7RhU=")</f>
        <v>#REF!</v>
      </c>
      <c r="W93" s="34" t="e">
        <f>AND(#REF!,"AAAAAH/7RhY=")</f>
        <v>#REF!</v>
      </c>
      <c r="X93" s="34" t="e">
        <f>AND(#REF!,"AAAAAH/7Rhc=")</f>
        <v>#REF!</v>
      </c>
      <c r="Y93" s="34" t="e">
        <f>AND(#REF!,"AAAAAH/7Rhg=")</f>
        <v>#REF!</v>
      </c>
      <c r="Z93" s="34" t="e">
        <f>AND(#REF!,"AAAAAH/7Rhk=")</f>
        <v>#REF!</v>
      </c>
      <c r="AA93" s="34" t="e">
        <f>AND(#REF!,"AAAAAH/7Rho=")</f>
        <v>#REF!</v>
      </c>
      <c r="AB93" s="34" t="e">
        <f>AND(#REF!,"AAAAAH/7Rhs=")</f>
        <v>#REF!</v>
      </c>
      <c r="AC93" s="34" t="e">
        <f>AND(#REF!,"AAAAAH/7Rhw=")</f>
        <v>#REF!</v>
      </c>
      <c r="AD93" s="34" t="e">
        <f>AND(#REF!,"AAAAAH/7Rh0=")</f>
        <v>#REF!</v>
      </c>
      <c r="AE93" s="34" t="e">
        <f>AND(#REF!,"AAAAAH/7Rh4=")</f>
        <v>#REF!</v>
      </c>
      <c r="AF93" s="34" t="e">
        <f>AND(#REF!,"AAAAAH/7Rh8=")</f>
        <v>#REF!</v>
      </c>
      <c r="AG93" s="34" t="e">
        <f>AND(#REF!,"AAAAAH/7RiA=")</f>
        <v>#REF!</v>
      </c>
      <c r="AH93" s="34" t="e">
        <f>AND(#REF!,"AAAAAH/7RiE=")</f>
        <v>#REF!</v>
      </c>
      <c r="AI93" s="34" t="e">
        <f>AND(#REF!,"AAAAAH/7RiI=")</f>
        <v>#REF!</v>
      </c>
      <c r="AJ93" s="34" t="e">
        <f>AND(#REF!,"AAAAAH/7RiM=")</f>
        <v>#REF!</v>
      </c>
      <c r="AK93" s="34" t="e">
        <f>AND(#REF!,"AAAAAH/7RiQ=")</f>
        <v>#REF!</v>
      </c>
      <c r="AL93" s="34" t="e">
        <f>IF(#REF!,"AAAAAH/7RiU=",0)</f>
        <v>#REF!</v>
      </c>
      <c r="AM93" s="34" t="e">
        <f>AND(#REF!,"AAAAAH/7RiY=")</f>
        <v>#REF!</v>
      </c>
      <c r="AN93" s="34" t="e">
        <f>AND(#REF!,"AAAAAH/7Ric=")</f>
        <v>#REF!</v>
      </c>
      <c r="AO93" s="34" t="e">
        <f>AND(#REF!,"AAAAAH/7Rig=")</f>
        <v>#REF!</v>
      </c>
      <c r="AP93" s="34" t="e">
        <f>AND(#REF!,"AAAAAH/7Rik=")</f>
        <v>#REF!</v>
      </c>
      <c r="AQ93" s="34" t="e">
        <f>AND(#REF!,"AAAAAH/7Rio=")</f>
        <v>#REF!</v>
      </c>
      <c r="AR93" s="34" t="e">
        <f>AND(#REF!,"AAAAAH/7Ris=")</f>
        <v>#REF!</v>
      </c>
      <c r="AS93" s="34" t="e">
        <f>AND(#REF!,"AAAAAH/7Riw=")</f>
        <v>#REF!</v>
      </c>
      <c r="AT93" s="34" t="e">
        <f>AND(#REF!,"AAAAAH/7Ri0=")</f>
        <v>#REF!</v>
      </c>
      <c r="AU93" s="34" t="e">
        <f>AND(#REF!,"AAAAAH/7Ri4=")</f>
        <v>#REF!</v>
      </c>
      <c r="AV93" s="34" t="e">
        <f>AND(#REF!,"AAAAAH/7Ri8=")</f>
        <v>#REF!</v>
      </c>
      <c r="AW93" s="34" t="e">
        <f>AND(#REF!,"AAAAAH/7RjA=")</f>
        <v>#REF!</v>
      </c>
      <c r="AX93" s="34" t="e">
        <f>AND(#REF!,"AAAAAH/7RjE=")</f>
        <v>#REF!</v>
      </c>
      <c r="AY93" s="34" t="e">
        <f>AND(#REF!,"AAAAAH/7RjI=")</f>
        <v>#REF!</v>
      </c>
      <c r="AZ93" s="34" t="e">
        <f>AND(#REF!,"AAAAAH/7RjM=")</f>
        <v>#REF!</v>
      </c>
      <c r="BA93" s="34" t="e">
        <f>AND(#REF!,"AAAAAH/7RjQ=")</f>
        <v>#REF!</v>
      </c>
      <c r="BB93" s="34" t="e">
        <f>AND(#REF!,"AAAAAH/7RjU=")</f>
        <v>#REF!</v>
      </c>
      <c r="BC93" s="34" t="e">
        <f>IF(#REF!,"AAAAAH/7RjY=",0)</f>
        <v>#REF!</v>
      </c>
      <c r="BD93" s="34" t="e">
        <f>AND(#REF!,"AAAAAH/7Rjc=")</f>
        <v>#REF!</v>
      </c>
      <c r="BE93" s="34" t="e">
        <f>AND(#REF!,"AAAAAH/7Rjg=")</f>
        <v>#REF!</v>
      </c>
      <c r="BF93" s="34" t="e">
        <f>AND(#REF!,"AAAAAH/7Rjk=")</f>
        <v>#REF!</v>
      </c>
      <c r="BG93" s="34" t="e">
        <f>AND(#REF!,"AAAAAH/7Rjo=")</f>
        <v>#REF!</v>
      </c>
      <c r="BH93" s="34" t="e">
        <f>AND(#REF!,"AAAAAH/7Rjs=")</f>
        <v>#REF!</v>
      </c>
      <c r="BI93" s="34" t="e">
        <f>AND(#REF!,"AAAAAH/7Rjw=")</f>
        <v>#REF!</v>
      </c>
      <c r="BJ93" s="34" t="e">
        <f>AND(#REF!,"AAAAAH/7Rj0=")</f>
        <v>#REF!</v>
      </c>
      <c r="BK93" s="34" t="e">
        <f>AND(#REF!,"AAAAAH/7Rj4=")</f>
        <v>#REF!</v>
      </c>
      <c r="BL93" s="34" t="e">
        <f>AND(#REF!,"AAAAAH/7Rj8=")</f>
        <v>#REF!</v>
      </c>
      <c r="BM93" s="34" t="e">
        <f>AND(#REF!,"AAAAAH/7RkA=")</f>
        <v>#REF!</v>
      </c>
      <c r="BN93" s="34" t="e">
        <f>AND(#REF!,"AAAAAH/7RkE=")</f>
        <v>#REF!</v>
      </c>
      <c r="BO93" s="34" t="e">
        <f>AND(#REF!,"AAAAAH/7RkI=")</f>
        <v>#REF!</v>
      </c>
      <c r="BP93" s="34" t="e">
        <f>AND(#REF!,"AAAAAH/7RkM=")</f>
        <v>#REF!</v>
      </c>
      <c r="BQ93" s="34" t="e">
        <f>AND(#REF!,"AAAAAH/7RkQ=")</f>
        <v>#REF!</v>
      </c>
      <c r="BR93" s="34" t="e">
        <f>AND(#REF!,"AAAAAH/7RkU=")</f>
        <v>#REF!</v>
      </c>
      <c r="BS93" s="34" t="e">
        <f>AND(#REF!,"AAAAAH/7RkY=")</f>
        <v>#REF!</v>
      </c>
      <c r="BT93" s="34" t="e">
        <f>IF(#REF!,"AAAAAH/7Rkc=",0)</f>
        <v>#REF!</v>
      </c>
      <c r="BU93" s="34" t="e">
        <f>AND(#REF!,"AAAAAH/7Rkg=")</f>
        <v>#REF!</v>
      </c>
      <c r="BV93" s="34" t="e">
        <f>AND(#REF!,"AAAAAH/7Rkk=")</f>
        <v>#REF!</v>
      </c>
      <c r="BW93" s="34" t="e">
        <f>AND(#REF!,"AAAAAH/7Rko=")</f>
        <v>#REF!</v>
      </c>
      <c r="BX93" s="34" t="e">
        <f>AND(#REF!,"AAAAAH/7Rks=")</f>
        <v>#REF!</v>
      </c>
      <c r="BY93" s="34" t="e">
        <f>AND(#REF!,"AAAAAH/7Rkw=")</f>
        <v>#REF!</v>
      </c>
      <c r="BZ93" s="34" t="e">
        <f>AND(#REF!,"AAAAAH/7Rk0=")</f>
        <v>#REF!</v>
      </c>
      <c r="CA93" s="34" t="e">
        <f>AND(#REF!,"AAAAAH/7Rk4=")</f>
        <v>#REF!</v>
      </c>
      <c r="CB93" s="34" t="e">
        <f>AND(#REF!,"AAAAAH/7Rk8=")</f>
        <v>#REF!</v>
      </c>
      <c r="CC93" s="34" t="e">
        <f>AND(#REF!,"AAAAAH/7RlA=")</f>
        <v>#REF!</v>
      </c>
      <c r="CD93" s="34" t="e">
        <f>AND(#REF!,"AAAAAH/7RlE=")</f>
        <v>#REF!</v>
      </c>
      <c r="CE93" s="34" t="e">
        <f>AND(#REF!,"AAAAAH/7RlI=")</f>
        <v>#REF!</v>
      </c>
      <c r="CF93" s="34" t="e">
        <f>AND(#REF!,"AAAAAH/7RlM=")</f>
        <v>#REF!</v>
      </c>
      <c r="CG93" s="34" t="e">
        <f>AND(#REF!,"AAAAAH/7RlQ=")</f>
        <v>#REF!</v>
      </c>
      <c r="CH93" s="34" t="e">
        <f>AND(#REF!,"AAAAAH/7RlU=")</f>
        <v>#REF!</v>
      </c>
      <c r="CI93" s="34" t="e">
        <f>AND(#REF!,"AAAAAH/7RlY=")</f>
        <v>#REF!</v>
      </c>
      <c r="CJ93" s="34" t="e">
        <f>AND(#REF!,"AAAAAH/7Rlc=")</f>
        <v>#REF!</v>
      </c>
      <c r="CK93" s="34" t="e">
        <f>IF(#REF!,"AAAAAH/7Rlg=",0)</f>
        <v>#REF!</v>
      </c>
      <c r="CL93" s="34" t="e">
        <f>AND(#REF!,"AAAAAH/7Rlk=")</f>
        <v>#REF!</v>
      </c>
      <c r="CM93" s="34" t="e">
        <f>AND(#REF!,"AAAAAH/7Rlo=")</f>
        <v>#REF!</v>
      </c>
      <c r="CN93" s="34" t="e">
        <f>AND(#REF!,"AAAAAH/7Rls=")</f>
        <v>#REF!</v>
      </c>
      <c r="CO93" s="34" t="e">
        <f>AND(#REF!,"AAAAAH/7Rlw=")</f>
        <v>#REF!</v>
      </c>
      <c r="CP93" s="34" t="e">
        <f>AND(#REF!,"AAAAAH/7Rl0=")</f>
        <v>#REF!</v>
      </c>
      <c r="CQ93" s="34" t="e">
        <f>AND(#REF!,"AAAAAH/7Rl4=")</f>
        <v>#REF!</v>
      </c>
      <c r="CR93" s="34" t="e">
        <f>AND(#REF!,"AAAAAH/7Rl8=")</f>
        <v>#REF!</v>
      </c>
      <c r="CS93" s="34" t="e">
        <f>AND(#REF!,"AAAAAH/7RmA=")</f>
        <v>#REF!</v>
      </c>
      <c r="CT93" s="34" t="e">
        <f>AND(#REF!,"AAAAAH/7RmE=")</f>
        <v>#REF!</v>
      </c>
      <c r="CU93" s="34" t="e">
        <f>AND(#REF!,"AAAAAH/7RmI=")</f>
        <v>#REF!</v>
      </c>
      <c r="CV93" s="34" t="e">
        <f>AND(#REF!,"AAAAAH/7RmM=")</f>
        <v>#REF!</v>
      </c>
      <c r="CW93" s="34" t="e">
        <f>AND(#REF!,"AAAAAH/7RmQ=")</f>
        <v>#REF!</v>
      </c>
      <c r="CX93" s="34" t="e">
        <f>AND(#REF!,"AAAAAH/7RmU=")</f>
        <v>#REF!</v>
      </c>
      <c r="CY93" s="34" t="e">
        <f>AND(#REF!,"AAAAAH/7RmY=")</f>
        <v>#REF!</v>
      </c>
      <c r="CZ93" s="34" t="e">
        <f>AND(#REF!,"AAAAAH/7Rmc=")</f>
        <v>#REF!</v>
      </c>
      <c r="DA93" s="34" t="e">
        <f>AND(#REF!,"AAAAAH/7Rmg=")</f>
        <v>#REF!</v>
      </c>
      <c r="DB93" s="34" t="e">
        <f>IF(#REF!,"AAAAAH/7Rmk=",0)</f>
        <v>#REF!</v>
      </c>
      <c r="DC93" s="34" t="e">
        <f>AND(#REF!,"AAAAAH/7Rmo=")</f>
        <v>#REF!</v>
      </c>
      <c r="DD93" s="34" t="e">
        <f>AND(#REF!,"AAAAAH/7Rms=")</f>
        <v>#REF!</v>
      </c>
      <c r="DE93" s="34" t="e">
        <f>AND(#REF!,"AAAAAH/7Rmw=")</f>
        <v>#REF!</v>
      </c>
      <c r="DF93" s="34" t="e">
        <f>AND(#REF!,"AAAAAH/7Rm0=")</f>
        <v>#REF!</v>
      </c>
      <c r="DG93" s="34" t="e">
        <f>AND(#REF!,"AAAAAH/7Rm4=")</f>
        <v>#REF!</v>
      </c>
      <c r="DH93" s="34" t="e">
        <f>AND(#REF!,"AAAAAH/7Rm8=")</f>
        <v>#REF!</v>
      </c>
      <c r="DI93" s="34" t="e">
        <f>AND(#REF!,"AAAAAH/7RnA=")</f>
        <v>#REF!</v>
      </c>
      <c r="DJ93" s="34" t="e">
        <f>AND(#REF!,"AAAAAH/7RnE=")</f>
        <v>#REF!</v>
      </c>
      <c r="DK93" s="34" t="e">
        <f>AND(#REF!,"AAAAAH/7RnI=")</f>
        <v>#REF!</v>
      </c>
      <c r="DL93" s="34" t="e">
        <f>AND(#REF!,"AAAAAH/7RnM=")</f>
        <v>#REF!</v>
      </c>
      <c r="DM93" s="34" t="e">
        <f>AND(#REF!,"AAAAAH/7RnQ=")</f>
        <v>#REF!</v>
      </c>
      <c r="DN93" s="34" t="e">
        <f>AND(#REF!,"AAAAAH/7RnU=")</f>
        <v>#REF!</v>
      </c>
      <c r="DO93" s="34" t="e">
        <f>AND(#REF!,"AAAAAH/7RnY=")</f>
        <v>#REF!</v>
      </c>
      <c r="DP93" s="34" t="e">
        <f>AND(#REF!,"AAAAAH/7Rnc=")</f>
        <v>#REF!</v>
      </c>
      <c r="DQ93" s="34" t="e">
        <f>AND(#REF!,"AAAAAH/7Rng=")</f>
        <v>#REF!</v>
      </c>
      <c r="DR93" s="34" t="e">
        <f>AND(#REF!,"AAAAAH/7Rnk=")</f>
        <v>#REF!</v>
      </c>
      <c r="DS93" s="34" t="e">
        <f>IF(#REF!,"AAAAAH/7Rno=",0)</f>
        <v>#REF!</v>
      </c>
      <c r="DT93" s="34" t="e">
        <f>AND(#REF!,"AAAAAH/7Rns=")</f>
        <v>#REF!</v>
      </c>
      <c r="DU93" s="34" t="e">
        <f>AND(#REF!,"AAAAAH/7Rnw=")</f>
        <v>#REF!</v>
      </c>
      <c r="DV93" s="34" t="e">
        <f>AND(#REF!,"AAAAAH/7Rn0=")</f>
        <v>#REF!</v>
      </c>
      <c r="DW93" s="34" t="e">
        <f>AND(#REF!,"AAAAAH/7Rn4=")</f>
        <v>#REF!</v>
      </c>
      <c r="DX93" s="34" t="e">
        <f>AND(#REF!,"AAAAAH/7Rn8=")</f>
        <v>#REF!</v>
      </c>
      <c r="DY93" s="34" t="e">
        <f>AND(#REF!,"AAAAAH/7RoA=")</f>
        <v>#REF!</v>
      </c>
      <c r="DZ93" s="34" t="e">
        <f>AND(#REF!,"AAAAAH/7RoE=")</f>
        <v>#REF!</v>
      </c>
      <c r="EA93" s="34" t="e">
        <f>AND(#REF!,"AAAAAH/7RoI=")</f>
        <v>#REF!</v>
      </c>
      <c r="EB93" s="34" t="e">
        <f>AND(#REF!,"AAAAAH/7RoM=")</f>
        <v>#REF!</v>
      </c>
      <c r="EC93" s="34" t="e">
        <f>AND(#REF!,"AAAAAH/7RoQ=")</f>
        <v>#REF!</v>
      </c>
      <c r="ED93" s="34" t="e">
        <f>AND(#REF!,"AAAAAH/7RoU=")</f>
        <v>#REF!</v>
      </c>
      <c r="EE93" s="34" t="e">
        <f>AND(#REF!,"AAAAAH/7RoY=")</f>
        <v>#REF!</v>
      </c>
      <c r="EF93" s="34" t="e">
        <f>AND(#REF!,"AAAAAH/7Roc=")</f>
        <v>#REF!</v>
      </c>
      <c r="EG93" s="34" t="e">
        <f>AND(#REF!,"AAAAAH/7Rog=")</f>
        <v>#REF!</v>
      </c>
      <c r="EH93" s="34" t="e">
        <f>AND(#REF!,"AAAAAH/7Rok=")</f>
        <v>#REF!</v>
      </c>
      <c r="EI93" s="34" t="e">
        <f>AND(#REF!,"AAAAAH/7Roo=")</f>
        <v>#REF!</v>
      </c>
      <c r="EJ93" s="34" t="e">
        <f>IF(#REF!,"AAAAAH/7Ros=",0)</f>
        <v>#REF!</v>
      </c>
      <c r="EK93" s="34" t="e">
        <f>AND(#REF!,"AAAAAH/7Row=")</f>
        <v>#REF!</v>
      </c>
      <c r="EL93" s="34" t="e">
        <f>AND(#REF!,"AAAAAH/7Ro0=")</f>
        <v>#REF!</v>
      </c>
      <c r="EM93" s="34" t="e">
        <f>AND(#REF!,"AAAAAH/7Ro4=")</f>
        <v>#REF!</v>
      </c>
      <c r="EN93" s="34" t="e">
        <f>AND(#REF!,"AAAAAH/7Ro8=")</f>
        <v>#REF!</v>
      </c>
      <c r="EO93" s="34" t="e">
        <f>AND(#REF!,"AAAAAH/7RpA=")</f>
        <v>#REF!</v>
      </c>
      <c r="EP93" s="34" t="e">
        <f>AND(#REF!,"AAAAAH/7RpE=")</f>
        <v>#REF!</v>
      </c>
      <c r="EQ93" s="34" t="e">
        <f>AND(#REF!,"AAAAAH/7RpI=")</f>
        <v>#REF!</v>
      </c>
      <c r="ER93" s="34" t="e">
        <f>AND(#REF!,"AAAAAH/7RpM=")</f>
        <v>#REF!</v>
      </c>
      <c r="ES93" s="34" t="e">
        <f>AND(#REF!,"AAAAAH/7RpQ=")</f>
        <v>#REF!</v>
      </c>
      <c r="ET93" s="34" t="e">
        <f>AND(#REF!,"AAAAAH/7RpU=")</f>
        <v>#REF!</v>
      </c>
      <c r="EU93" s="34" t="e">
        <f>AND(#REF!,"AAAAAH/7RpY=")</f>
        <v>#REF!</v>
      </c>
      <c r="EV93" s="34" t="e">
        <f>AND(#REF!,"AAAAAH/7Rpc=")</f>
        <v>#REF!</v>
      </c>
      <c r="EW93" s="34" t="e">
        <f>AND(#REF!,"AAAAAH/7Rpg=")</f>
        <v>#REF!</v>
      </c>
      <c r="EX93" s="34" t="e">
        <f>AND(#REF!,"AAAAAH/7Rpk=")</f>
        <v>#REF!</v>
      </c>
      <c r="EY93" s="34" t="e">
        <f>AND(#REF!,"AAAAAH/7Rpo=")</f>
        <v>#REF!</v>
      </c>
      <c r="EZ93" s="34" t="e">
        <f>AND(#REF!,"AAAAAH/7Rps=")</f>
        <v>#REF!</v>
      </c>
      <c r="FA93" s="34" t="e">
        <f>IF(#REF!,"AAAAAH/7Rpw=",0)</f>
        <v>#REF!</v>
      </c>
      <c r="FB93" s="34" t="e">
        <f>AND(#REF!,"AAAAAH/7Rp0=")</f>
        <v>#REF!</v>
      </c>
      <c r="FC93" s="34" t="e">
        <f>AND(#REF!,"AAAAAH/7Rp4=")</f>
        <v>#REF!</v>
      </c>
      <c r="FD93" s="34" t="e">
        <f>AND(#REF!,"AAAAAH/7Rp8=")</f>
        <v>#REF!</v>
      </c>
      <c r="FE93" s="34" t="e">
        <f>AND(#REF!,"AAAAAH/7RqA=")</f>
        <v>#REF!</v>
      </c>
      <c r="FF93" s="34" t="e">
        <f>AND(#REF!,"AAAAAH/7RqE=")</f>
        <v>#REF!</v>
      </c>
      <c r="FG93" s="34" t="e">
        <f>AND(#REF!,"AAAAAH/7RqI=")</f>
        <v>#REF!</v>
      </c>
      <c r="FH93" s="34" t="e">
        <f>AND(#REF!,"AAAAAH/7RqM=")</f>
        <v>#REF!</v>
      </c>
      <c r="FI93" s="34" t="e">
        <f>AND(#REF!,"AAAAAH/7RqQ=")</f>
        <v>#REF!</v>
      </c>
      <c r="FJ93" s="34" t="e">
        <f>AND(#REF!,"AAAAAH/7RqU=")</f>
        <v>#REF!</v>
      </c>
      <c r="FK93" s="34" t="e">
        <f>AND(#REF!,"AAAAAH/7RqY=")</f>
        <v>#REF!</v>
      </c>
      <c r="FL93" s="34" t="e">
        <f>AND(#REF!,"AAAAAH/7Rqc=")</f>
        <v>#REF!</v>
      </c>
      <c r="FM93" s="34" t="e">
        <f>AND(#REF!,"AAAAAH/7Rqg=")</f>
        <v>#REF!</v>
      </c>
      <c r="FN93" s="34" t="e">
        <f>AND(#REF!,"AAAAAH/7Rqk=")</f>
        <v>#REF!</v>
      </c>
      <c r="FO93" s="34" t="e">
        <f>AND(#REF!,"AAAAAH/7Rqo=")</f>
        <v>#REF!</v>
      </c>
      <c r="FP93" s="34" t="e">
        <f>AND(#REF!,"AAAAAH/7Rqs=")</f>
        <v>#REF!</v>
      </c>
      <c r="FQ93" s="34" t="e">
        <f>AND(#REF!,"AAAAAH/7Rqw=")</f>
        <v>#REF!</v>
      </c>
      <c r="FR93" s="34" t="e">
        <f>IF(#REF!,"AAAAAH/7Rq0=",0)</f>
        <v>#REF!</v>
      </c>
      <c r="FS93" s="34" t="e">
        <f>AND(#REF!,"AAAAAH/7Rq4=")</f>
        <v>#REF!</v>
      </c>
      <c r="FT93" s="34" t="e">
        <f>AND(#REF!,"AAAAAH/7Rq8=")</f>
        <v>#REF!</v>
      </c>
      <c r="FU93" s="34" t="e">
        <f>AND(#REF!,"AAAAAH/7RrA=")</f>
        <v>#REF!</v>
      </c>
      <c r="FV93" s="34" t="e">
        <f>AND(#REF!,"AAAAAH/7RrE=")</f>
        <v>#REF!</v>
      </c>
      <c r="FW93" s="34" t="e">
        <f>AND(#REF!,"AAAAAH/7RrI=")</f>
        <v>#REF!</v>
      </c>
      <c r="FX93" s="34" t="e">
        <f>AND(#REF!,"AAAAAH/7RrM=")</f>
        <v>#REF!</v>
      </c>
      <c r="FY93" s="34" t="e">
        <f>AND(#REF!,"AAAAAH/7RrQ=")</f>
        <v>#REF!</v>
      </c>
      <c r="FZ93" s="34" t="e">
        <f>AND(#REF!,"AAAAAH/7RrU=")</f>
        <v>#REF!</v>
      </c>
      <c r="GA93" s="34" t="e">
        <f>AND(#REF!,"AAAAAH/7RrY=")</f>
        <v>#REF!</v>
      </c>
      <c r="GB93" s="34" t="e">
        <f>AND(#REF!,"AAAAAH/7Rrc=")</f>
        <v>#REF!</v>
      </c>
      <c r="GC93" s="34" t="e">
        <f>AND(#REF!,"AAAAAH/7Rrg=")</f>
        <v>#REF!</v>
      </c>
      <c r="GD93" s="34" t="e">
        <f>AND(#REF!,"AAAAAH/7Rrk=")</f>
        <v>#REF!</v>
      </c>
      <c r="GE93" s="34" t="e">
        <f>AND(#REF!,"AAAAAH/7Rro=")</f>
        <v>#REF!</v>
      </c>
      <c r="GF93" s="34" t="e">
        <f>AND(#REF!,"AAAAAH/7Rrs=")</f>
        <v>#REF!</v>
      </c>
      <c r="GG93" s="34" t="e">
        <f>AND(#REF!,"AAAAAH/7Rrw=")</f>
        <v>#REF!</v>
      </c>
      <c r="GH93" s="34" t="e">
        <f>AND(#REF!,"AAAAAH/7Rr0=")</f>
        <v>#REF!</v>
      </c>
      <c r="GI93" s="34" t="e">
        <f>IF(#REF!,"AAAAAH/7Rr4=",0)</f>
        <v>#REF!</v>
      </c>
      <c r="GJ93" s="34" t="e">
        <f>AND(#REF!,"AAAAAH/7Rr8=")</f>
        <v>#REF!</v>
      </c>
      <c r="GK93" s="34" t="e">
        <f>AND(#REF!,"AAAAAH/7RsA=")</f>
        <v>#REF!</v>
      </c>
      <c r="GL93" s="34" t="e">
        <f>AND(#REF!,"AAAAAH/7RsE=")</f>
        <v>#REF!</v>
      </c>
      <c r="GM93" s="34" t="e">
        <f>AND(#REF!,"AAAAAH/7RsI=")</f>
        <v>#REF!</v>
      </c>
      <c r="GN93" s="34" t="e">
        <f>AND(#REF!,"AAAAAH/7RsM=")</f>
        <v>#REF!</v>
      </c>
      <c r="GO93" s="34" t="e">
        <f>AND(#REF!,"AAAAAH/7RsQ=")</f>
        <v>#REF!</v>
      </c>
      <c r="GP93" s="34" t="e">
        <f>AND(#REF!,"AAAAAH/7RsU=")</f>
        <v>#REF!</v>
      </c>
      <c r="GQ93" s="34" t="e">
        <f>AND(#REF!,"AAAAAH/7RsY=")</f>
        <v>#REF!</v>
      </c>
      <c r="GR93" s="34" t="e">
        <f>AND(#REF!,"AAAAAH/7Rsc=")</f>
        <v>#REF!</v>
      </c>
      <c r="GS93" s="34" t="e">
        <f>AND(#REF!,"AAAAAH/7Rsg=")</f>
        <v>#REF!</v>
      </c>
      <c r="GT93" s="34" t="e">
        <f>AND(#REF!,"AAAAAH/7Rsk=")</f>
        <v>#REF!</v>
      </c>
      <c r="GU93" s="34" t="e">
        <f>AND(#REF!,"AAAAAH/7Rso=")</f>
        <v>#REF!</v>
      </c>
      <c r="GV93" s="34" t="e">
        <f>AND(#REF!,"AAAAAH/7Rss=")</f>
        <v>#REF!</v>
      </c>
      <c r="GW93" s="34" t="e">
        <f>AND(#REF!,"AAAAAH/7Rsw=")</f>
        <v>#REF!</v>
      </c>
      <c r="GX93" s="34" t="e">
        <f>AND(#REF!,"AAAAAH/7Rs0=")</f>
        <v>#REF!</v>
      </c>
      <c r="GY93" s="34" t="e">
        <f>AND(#REF!,"AAAAAH/7Rs4=")</f>
        <v>#REF!</v>
      </c>
      <c r="GZ93" s="34" t="e">
        <f>IF(#REF!,"AAAAAH/7Rs8=",0)</f>
        <v>#REF!</v>
      </c>
      <c r="HA93" s="34" t="e">
        <f>AND(#REF!,"AAAAAH/7RtA=")</f>
        <v>#REF!</v>
      </c>
      <c r="HB93" s="34" t="e">
        <f>AND(#REF!,"AAAAAH/7RtE=")</f>
        <v>#REF!</v>
      </c>
      <c r="HC93" s="34" t="e">
        <f>AND(#REF!,"AAAAAH/7RtI=")</f>
        <v>#REF!</v>
      </c>
      <c r="HD93" s="34" t="e">
        <f>AND(#REF!,"AAAAAH/7RtM=")</f>
        <v>#REF!</v>
      </c>
      <c r="HE93" s="34" t="e">
        <f>AND(#REF!,"AAAAAH/7RtQ=")</f>
        <v>#REF!</v>
      </c>
      <c r="HF93" s="34" t="e">
        <f>AND(#REF!,"AAAAAH/7RtU=")</f>
        <v>#REF!</v>
      </c>
      <c r="HG93" s="34" t="e">
        <f>AND(#REF!,"AAAAAH/7RtY=")</f>
        <v>#REF!</v>
      </c>
      <c r="HH93" s="34" t="e">
        <f>AND(#REF!,"AAAAAH/7Rtc=")</f>
        <v>#REF!</v>
      </c>
      <c r="HI93" s="34" t="e">
        <f>AND(#REF!,"AAAAAH/7Rtg=")</f>
        <v>#REF!</v>
      </c>
      <c r="HJ93" s="34" t="e">
        <f>AND(#REF!,"AAAAAH/7Rtk=")</f>
        <v>#REF!</v>
      </c>
      <c r="HK93" s="34" t="e">
        <f>AND(#REF!,"AAAAAH/7Rto=")</f>
        <v>#REF!</v>
      </c>
      <c r="HL93" s="34" t="e">
        <f>AND(#REF!,"AAAAAH/7Rts=")</f>
        <v>#REF!</v>
      </c>
      <c r="HM93" s="34" t="e">
        <f>AND(#REF!,"AAAAAH/7Rtw=")</f>
        <v>#REF!</v>
      </c>
      <c r="HN93" s="34" t="e">
        <f>AND(#REF!,"AAAAAH/7Rt0=")</f>
        <v>#REF!</v>
      </c>
      <c r="HO93" s="34" t="e">
        <f>AND(#REF!,"AAAAAH/7Rt4=")</f>
        <v>#REF!</v>
      </c>
      <c r="HP93" s="34" t="e">
        <f>AND(#REF!,"AAAAAH/7Rt8=")</f>
        <v>#REF!</v>
      </c>
      <c r="HQ93" s="34" t="e">
        <f>IF(#REF!,"AAAAAH/7RuA=",0)</f>
        <v>#REF!</v>
      </c>
      <c r="HR93" s="34" t="e">
        <f>AND(#REF!,"AAAAAH/7RuE=")</f>
        <v>#REF!</v>
      </c>
      <c r="HS93" s="34" t="e">
        <f>AND(#REF!,"AAAAAH/7RuI=")</f>
        <v>#REF!</v>
      </c>
      <c r="HT93" s="34" t="e">
        <f>AND(#REF!,"AAAAAH/7RuM=")</f>
        <v>#REF!</v>
      </c>
      <c r="HU93" s="34" t="e">
        <f>AND(#REF!,"AAAAAH/7RuQ=")</f>
        <v>#REF!</v>
      </c>
      <c r="HV93" s="34" t="e">
        <f>AND(#REF!,"AAAAAH/7RuU=")</f>
        <v>#REF!</v>
      </c>
      <c r="HW93" s="34" t="e">
        <f>AND(#REF!,"AAAAAH/7RuY=")</f>
        <v>#REF!</v>
      </c>
      <c r="HX93" s="34" t="e">
        <f>AND(#REF!,"AAAAAH/7Ruc=")</f>
        <v>#REF!</v>
      </c>
      <c r="HY93" s="34" t="e">
        <f>AND(#REF!,"AAAAAH/7Rug=")</f>
        <v>#REF!</v>
      </c>
      <c r="HZ93" s="34" t="e">
        <f>AND(#REF!,"AAAAAH/7Ruk=")</f>
        <v>#REF!</v>
      </c>
      <c r="IA93" s="34" t="e">
        <f>AND(#REF!,"AAAAAH/7Ruo=")</f>
        <v>#REF!</v>
      </c>
      <c r="IB93" s="34" t="e">
        <f>AND(#REF!,"AAAAAH/7Rus=")</f>
        <v>#REF!</v>
      </c>
      <c r="IC93" s="34" t="e">
        <f>AND(#REF!,"AAAAAH/7Ruw=")</f>
        <v>#REF!</v>
      </c>
      <c r="ID93" s="34" t="e">
        <f>AND(#REF!,"AAAAAH/7Ru0=")</f>
        <v>#REF!</v>
      </c>
      <c r="IE93" s="34" t="e">
        <f>AND(#REF!,"AAAAAH/7Ru4=")</f>
        <v>#REF!</v>
      </c>
      <c r="IF93" s="34" t="e">
        <f>AND(#REF!,"AAAAAH/7Ru8=")</f>
        <v>#REF!</v>
      </c>
      <c r="IG93" s="34" t="e">
        <f>AND(#REF!,"AAAAAH/7RvA=")</f>
        <v>#REF!</v>
      </c>
      <c r="IH93" s="34" t="e">
        <f>IF(#REF!,"AAAAAH/7RvE=",0)</f>
        <v>#REF!</v>
      </c>
      <c r="II93" s="34" t="e">
        <f>AND(#REF!,"AAAAAH/7RvI=")</f>
        <v>#REF!</v>
      </c>
      <c r="IJ93" s="34" t="e">
        <f>AND(#REF!,"AAAAAH/7RvM=")</f>
        <v>#REF!</v>
      </c>
      <c r="IK93" s="34" t="e">
        <f>AND(#REF!,"AAAAAH/7RvQ=")</f>
        <v>#REF!</v>
      </c>
      <c r="IL93" s="34" t="e">
        <f>AND(#REF!,"AAAAAH/7RvU=")</f>
        <v>#REF!</v>
      </c>
      <c r="IM93" s="34" t="e">
        <f>AND(#REF!,"AAAAAH/7RvY=")</f>
        <v>#REF!</v>
      </c>
      <c r="IN93" s="34" t="e">
        <f>AND(#REF!,"AAAAAH/7Rvc=")</f>
        <v>#REF!</v>
      </c>
      <c r="IO93" s="34" t="e">
        <f>AND(#REF!,"AAAAAH/7Rvg=")</f>
        <v>#REF!</v>
      </c>
      <c r="IP93" s="34" t="e">
        <f>AND(#REF!,"AAAAAH/7Rvk=")</f>
        <v>#REF!</v>
      </c>
      <c r="IQ93" s="34" t="e">
        <f>AND(#REF!,"AAAAAH/7Rvo=")</f>
        <v>#REF!</v>
      </c>
      <c r="IR93" s="34" t="e">
        <f>AND(#REF!,"AAAAAH/7Rvs=")</f>
        <v>#REF!</v>
      </c>
      <c r="IS93" s="34" t="e">
        <f>AND(#REF!,"AAAAAH/7Rvw=")</f>
        <v>#REF!</v>
      </c>
      <c r="IT93" s="34" t="e">
        <f>AND(#REF!,"AAAAAH/7Rv0=")</f>
        <v>#REF!</v>
      </c>
      <c r="IU93" s="34" t="e">
        <f>AND(#REF!,"AAAAAH/7Rv4=")</f>
        <v>#REF!</v>
      </c>
      <c r="IV93" s="34" t="e">
        <f>AND(#REF!,"AAAAAH/7Rv8=")</f>
        <v>#REF!</v>
      </c>
    </row>
    <row r="94" spans="1:256" ht="12.75" customHeight="1" x14ac:dyDescent="0.2">
      <c r="A94" s="34" t="e">
        <f>AND(#REF!,"AAAAAH+OaQA=")</f>
        <v>#REF!</v>
      </c>
      <c r="B94" s="34" t="e">
        <f>AND(#REF!,"AAAAAH+OaQE=")</f>
        <v>#REF!</v>
      </c>
      <c r="C94" s="34" t="e">
        <f>IF(#REF!,"AAAAAH+OaQI=",0)</f>
        <v>#REF!</v>
      </c>
      <c r="D94" s="34" t="e">
        <f>AND(#REF!,"AAAAAH+OaQM=")</f>
        <v>#REF!</v>
      </c>
      <c r="E94" s="34" t="e">
        <f>AND(#REF!,"AAAAAH+OaQQ=")</f>
        <v>#REF!</v>
      </c>
      <c r="F94" s="34" t="e">
        <f>AND(#REF!,"AAAAAH+OaQU=")</f>
        <v>#REF!</v>
      </c>
      <c r="G94" s="34" t="e">
        <f>AND(#REF!,"AAAAAH+OaQY=")</f>
        <v>#REF!</v>
      </c>
      <c r="H94" s="34" t="e">
        <f>AND(#REF!,"AAAAAH+OaQc=")</f>
        <v>#REF!</v>
      </c>
      <c r="I94" s="34" t="e">
        <f>AND(#REF!,"AAAAAH+OaQg=")</f>
        <v>#REF!</v>
      </c>
      <c r="J94" s="34" t="e">
        <f>AND(#REF!,"AAAAAH+OaQk=")</f>
        <v>#REF!</v>
      </c>
      <c r="K94" s="34" t="e">
        <f>AND(#REF!,"AAAAAH+OaQo=")</f>
        <v>#REF!</v>
      </c>
      <c r="L94" s="34" t="e">
        <f>AND(#REF!,"AAAAAH+OaQs=")</f>
        <v>#REF!</v>
      </c>
      <c r="M94" s="34" t="e">
        <f>AND(#REF!,"AAAAAH+OaQw=")</f>
        <v>#REF!</v>
      </c>
      <c r="N94" s="34" t="e">
        <f>AND(#REF!,"AAAAAH+OaQ0=")</f>
        <v>#REF!</v>
      </c>
      <c r="O94" s="34" t="e">
        <f>AND(#REF!,"AAAAAH+OaQ4=")</f>
        <v>#REF!</v>
      </c>
      <c r="P94" s="34" t="e">
        <f>AND(#REF!,"AAAAAH+OaQ8=")</f>
        <v>#REF!</v>
      </c>
      <c r="Q94" s="34" t="e">
        <f>AND(#REF!,"AAAAAH+OaRA=")</f>
        <v>#REF!</v>
      </c>
      <c r="R94" s="34" t="e">
        <f>AND(#REF!,"AAAAAH+OaRE=")</f>
        <v>#REF!</v>
      </c>
      <c r="S94" s="34" t="e">
        <f>AND(#REF!,"AAAAAH+OaRI=")</f>
        <v>#REF!</v>
      </c>
      <c r="T94" s="34" t="e">
        <f>IF(#REF!,"AAAAAH+OaRM=",0)</f>
        <v>#REF!</v>
      </c>
      <c r="U94" s="34" t="e">
        <f>AND(#REF!,"AAAAAH+OaRQ=")</f>
        <v>#REF!</v>
      </c>
      <c r="V94" s="34" t="e">
        <f>AND(#REF!,"AAAAAH+OaRU=")</f>
        <v>#REF!</v>
      </c>
      <c r="W94" s="34" t="e">
        <f>AND(#REF!,"AAAAAH+OaRY=")</f>
        <v>#REF!</v>
      </c>
      <c r="X94" s="34" t="e">
        <f>AND(#REF!,"AAAAAH+OaRc=")</f>
        <v>#REF!</v>
      </c>
      <c r="Y94" s="34" t="e">
        <f>AND(#REF!,"AAAAAH+OaRg=")</f>
        <v>#REF!</v>
      </c>
      <c r="Z94" s="34" t="e">
        <f>AND(#REF!,"AAAAAH+OaRk=")</f>
        <v>#REF!</v>
      </c>
      <c r="AA94" s="34" t="e">
        <f>AND(#REF!,"AAAAAH+OaRo=")</f>
        <v>#REF!</v>
      </c>
      <c r="AB94" s="34" t="e">
        <f>AND(#REF!,"AAAAAH+OaRs=")</f>
        <v>#REF!</v>
      </c>
      <c r="AC94" s="34" t="e">
        <f>AND(#REF!,"AAAAAH+OaRw=")</f>
        <v>#REF!</v>
      </c>
      <c r="AD94" s="34" t="e">
        <f>AND(#REF!,"AAAAAH+OaR0=")</f>
        <v>#REF!</v>
      </c>
      <c r="AE94" s="34" t="e">
        <f>AND(#REF!,"AAAAAH+OaR4=")</f>
        <v>#REF!</v>
      </c>
      <c r="AF94" s="34" t="e">
        <f>AND(#REF!,"AAAAAH+OaR8=")</f>
        <v>#REF!</v>
      </c>
      <c r="AG94" s="34" t="e">
        <f>AND(#REF!,"AAAAAH+OaSA=")</f>
        <v>#REF!</v>
      </c>
      <c r="AH94" s="34" t="e">
        <f>AND(#REF!,"AAAAAH+OaSE=")</f>
        <v>#REF!</v>
      </c>
      <c r="AI94" s="34" t="e">
        <f>AND(#REF!,"AAAAAH+OaSI=")</f>
        <v>#REF!</v>
      </c>
      <c r="AJ94" s="34" t="e">
        <f>AND(#REF!,"AAAAAH+OaSM=")</f>
        <v>#REF!</v>
      </c>
      <c r="AK94" s="34" t="e">
        <f>IF(#REF!,"AAAAAH+OaSQ=",0)</f>
        <v>#REF!</v>
      </c>
      <c r="AL94" s="34" t="e">
        <f>AND(#REF!,"AAAAAH+OaSU=")</f>
        <v>#REF!</v>
      </c>
      <c r="AM94" s="34" t="e">
        <f>AND(#REF!,"AAAAAH+OaSY=")</f>
        <v>#REF!</v>
      </c>
      <c r="AN94" s="34" t="e">
        <f>AND(#REF!,"AAAAAH+OaSc=")</f>
        <v>#REF!</v>
      </c>
      <c r="AO94" s="34" t="e">
        <f>AND(#REF!,"AAAAAH+OaSg=")</f>
        <v>#REF!</v>
      </c>
      <c r="AP94" s="34" t="e">
        <f>AND(#REF!,"AAAAAH+OaSk=")</f>
        <v>#REF!</v>
      </c>
      <c r="AQ94" s="34" t="e">
        <f>AND(#REF!,"AAAAAH+OaSo=")</f>
        <v>#REF!</v>
      </c>
      <c r="AR94" s="34" t="e">
        <f>AND(#REF!,"AAAAAH+OaSs=")</f>
        <v>#REF!</v>
      </c>
      <c r="AS94" s="34" t="e">
        <f>AND(#REF!,"AAAAAH+OaSw=")</f>
        <v>#REF!</v>
      </c>
      <c r="AT94" s="34" t="e">
        <f>AND(#REF!,"AAAAAH+OaS0=")</f>
        <v>#REF!</v>
      </c>
      <c r="AU94" s="34" t="e">
        <f>AND(#REF!,"AAAAAH+OaS4=")</f>
        <v>#REF!</v>
      </c>
      <c r="AV94" s="34" t="e">
        <f>AND(#REF!,"AAAAAH+OaS8=")</f>
        <v>#REF!</v>
      </c>
      <c r="AW94" s="34" t="e">
        <f>AND(#REF!,"AAAAAH+OaTA=")</f>
        <v>#REF!</v>
      </c>
      <c r="AX94" s="34" t="e">
        <f>AND(#REF!,"AAAAAH+OaTE=")</f>
        <v>#REF!</v>
      </c>
      <c r="AY94" s="34" t="e">
        <f>AND(#REF!,"AAAAAH+OaTI=")</f>
        <v>#REF!</v>
      </c>
      <c r="AZ94" s="34" t="e">
        <f>AND(#REF!,"AAAAAH+OaTM=")</f>
        <v>#REF!</v>
      </c>
      <c r="BA94" s="34" t="e">
        <f>AND(#REF!,"AAAAAH+OaTQ=")</f>
        <v>#REF!</v>
      </c>
      <c r="BB94" s="34" t="e">
        <f>IF(#REF!,"AAAAAH+OaTU=",0)</f>
        <v>#REF!</v>
      </c>
      <c r="BC94" s="34" t="e">
        <f>AND(#REF!,"AAAAAH+OaTY=")</f>
        <v>#REF!</v>
      </c>
      <c r="BD94" s="34" t="e">
        <f>AND(#REF!,"AAAAAH+OaTc=")</f>
        <v>#REF!</v>
      </c>
      <c r="BE94" s="34" t="e">
        <f>AND(#REF!,"AAAAAH+OaTg=")</f>
        <v>#REF!</v>
      </c>
      <c r="BF94" s="34" t="e">
        <f>AND(#REF!,"AAAAAH+OaTk=")</f>
        <v>#REF!</v>
      </c>
      <c r="BG94" s="34" t="e">
        <f>AND(#REF!,"AAAAAH+OaTo=")</f>
        <v>#REF!</v>
      </c>
      <c r="BH94" s="34" t="e">
        <f>AND(#REF!,"AAAAAH+OaTs=")</f>
        <v>#REF!</v>
      </c>
      <c r="BI94" s="34" t="e">
        <f>AND(#REF!,"AAAAAH+OaTw=")</f>
        <v>#REF!</v>
      </c>
      <c r="BJ94" s="34" t="e">
        <f>AND(#REF!,"AAAAAH+OaT0=")</f>
        <v>#REF!</v>
      </c>
      <c r="BK94" s="34" t="e">
        <f>AND(#REF!,"AAAAAH+OaT4=")</f>
        <v>#REF!</v>
      </c>
      <c r="BL94" s="34" t="e">
        <f>AND(#REF!,"AAAAAH+OaT8=")</f>
        <v>#REF!</v>
      </c>
      <c r="BM94" s="34" t="e">
        <f>AND(#REF!,"AAAAAH+OaUA=")</f>
        <v>#REF!</v>
      </c>
      <c r="BN94" s="34" t="e">
        <f>AND(#REF!,"AAAAAH+OaUE=")</f>
        <v>#REF!</v>
      </c>
      <c r="BO94" s="34" t="e">
        <f>AND(#REF!,"AAAAAH+OaUI=")</f>
        <v>#REF!</v>
      </c>
      <c r="BP94" s="34" t="e">
        <f>AND(#REF!,"AAAAAH+OaUM=")</f>
        <v>#REF!</v>
      </c>
      <c r="BQ94" s="34" t="e">
        <f>AND(#REF!,"AAAAAH+OaUQ=")</f>
        <v>#REF!</v>
      </c>
      <c r="BR94" s="34" t="e">
        <f>AND(#REF!,"AAAAAH+OaUU=")</f>
        <v>#REF!</v>
      </c>
      <c r="BS94" s="34" t="e">
        <f>IF(#REF!,"AAAAAH+OaUY=",0)</f>
        <v>#REF!</v>
      </c>
      <c r="BT94" s="34" t="e">
        <f>AND(#REF!,"AAAAAH+OaUc=")</f>
        <v>#REF!</v>
      </c>
      <c r="BU94" s="34" t="e">
        <f>AND(#REF!,"AAAAAH+OaUg=")</f>
        <v>#REF!</v>
      </c>
      <c r="BV94" s="34" t="e">
        <f>AND(#REF!,"AAAAAH+OaUk=")</f>
        <v>#REF!</v>
      </c>
      <c r="BW94" s="34" t="e">
        <f>AND(#REF!,"AAAAAH+OaUo=")</f>
        <v>#REF!</v>
      </c>
      <c r="BX94" s="34" t="e">
        <f>AND(#REF!,"AAAAAH+OaUs=")</f>
        <v>#REF!</v>
      </c>
      <c r="BY94" s="34" t="e">
        <f>AND(#REF!,"AAAAAH+OaUw=")</f>
        <v>#REF!</v>
      </c>
      <c r="BZ94" s="34" t="e">
        <f>AND(#REF!,"AAAAAH+OaU0=")</f>
        <v>#REF!</v>
      </c>
      <c r="CA94" s="34" t="e">
        <f>AND(#REF!,"AAAAAH+OaU4=")</f>
        <v>#REF!</v>
      </c>
      <c r="CB94" s="34" t="e">
        <f>AND(#REF!,"AAAAAH+OaU8=")</f>
        <v>#REF!</v>
      </c>
      <c r="CC94" s="34" t="e">
        <f>AND(#REF!,"AAAAAH+OaVA=")</f>
        <v>#REF!</v>
      </c>
      <c r="CD94" s="34" t="e">
        <f>AND(#REF!,"AAAAAH+OaVE=")</f>
        <v>#REF!</v>
      </c>
      <c r="CE94" s="34" t="e">
        <f>AND(#REF!,"AAAAAH+OaVI=")</f>
        <v>#REF!</v>
      </c>
      <c r="CF94" s="34" t="e">
        <f>AND(#REF!,"AAAAAH+OaVM=")</f>
        <v>#REF!</v>
      </c>
      <c r="CG94" s="34" t="e">
        <f>AND(#REF!,"AAAAAH+OaVQ=")</f>
        <v>#REF!</v>
      </c>
      <c r="CH94" s="34" t="e">
        <f>AND(#REF!,"AAAAAH+OaVU=")</f>
        <v>#REF!</v>
      </c>
      <c r="CI94" s="34" t="e">
        <f>AND(#REF!,"AAAAAH+OaVY=")</f>
        <v>#REF!</v>
      </c>
      <c r="CJ94" s="34" t="e">
        <f>IF(#REF!,"AAAAAH+OaVc=",0)</f>
        <v>#REF!</v>
      </c>
      <c r="CK94" s="34" t="e">
        <f>AND(#REF!,"AAAAAH+OaVg=")</f>
        <v>#REF!</v>
      </c>
      <c r="CL94" s="34" t="e">
        <f>AND(#REF!,"AAAAAH+OaVk=")</f>
        <v>#REF!</v>
      </c>
      <c r="CM94" s="34" t="e">
        <f>AND(#REF!,"AAAAAH+OaVo=")</f>
        <v>#REF!</v>
      </c>
      <c r="CN94" s="34" t="e">
        <f>AND(#REF!,"AAAAAH+OaVs=")</f>
        <v>#REF!</v>
      </c>
      <c r="CO94" s="34" t="e">
        <f>AND(#REF!,"AAAAAH+OaVw=")</f>
        <v>#REF!</v>
      </c>
      <c r="CP94" s="34" t="e">
        <f>AND(#REF!,"AAAAAH+OaV0=")</f>
        <v>#REF!</v>
      </c>
      <c r="CQ94" s="34" t="e">
        <f>AND(#REF!,"AAAAAH+OaV4=")</f>
        <v>#REF!</v>
      </c>
      <c r="CR94" s="34" t="e">
        <f>AND(#REF!,"AAAAAH+OaV8=")</f>
        <v>#REF!</v>
      </c>
      <c r="CS94" s="34" t="e">
        <f>AND(#REF!,"AAAAAH+OaWA=")</f>
        <v>#REF!</v>
      </c>
      <c r="CT94" s="34" t="e">
        <f>AND(#REF!,"AAAAAH+OaWE=")</f>
        <v>#REF!</v>
      </c>
      <c r="CU94" s="34" t="e">
        <f>AND(#REF!,"AAAAAH+OaWI=")</f>
        <v>#REF!</v>
      </c>
      <c r="CV94" s="34" t="e">
        <f>AND(#REF!,"AAAAAH+OaWM=")</f>
        <v>#REF!</v>
      </c>
      <c r="CW94" s="34" t="e">
        <f>AND(#REF!,"AAAAAH+OaWQ=")</f>
        <v>#REF!</v>
      </c>
      <c r="CX94" s="34" t="e">
        <f>AND(#REF!,"AAAAAH+OaWU=")</f>
        <v>#REF!</v>
      </c>
      <c r="CY94" s="34" t="e">
        <f>AND(#REF!,"AAAAAH+OaWY=")</f>
        <v>#REF!</v>
      </c>
      <c r="CZ94" s="34" t="e">
        <f>AND(#REF!,"AAAAAH+OaWc=")</f>
        <v>#REF!</v>
      </c>
      <c r="DA94" s="34" t="e">
        <f>IF(#REF!,"AAAAAH+OaWg=",0)</f>
        <v>#REF!</v>
      </c>
      <c r="DB94" s="34" t="e">
        <f>AND(#REF!,"AAAAAH+OaWk=")</f>
        <v>#REF!</v>
      </c>
      <c r="DC94" s="34" t="e">
        <f>AND(#REF!,"AAAAAH+OaWo=")</f>
        <v>#REF!</v>
      </c>
      <c r="DD94" s="34" t="e">
        <f>AND(#REF!,"AAAAAH+OaWs=")</f>
        <v>#REF!</v>
      </c>
      <c r="DE94" s="34" t="e">
        <f>AND(#REF!,"AAAAAH+OaWw=")</f>
        <v>#REF!</v>
      </c>
      <c r="DF94" s="34" t="e">
        <f>AND(#REF!,"AAAAAH+OaW0=")</f>
        <v>#REF!</v>
      </c>
      <c r="DG94" s="34" t="e">
        <f>AND(#REF!,"AAAAAH+OaW4=")</f>
        <v>#REF!</v>
      </c>
      <c r="DH94" s="34" t="e">
        <f>AND(#REF!,"AAAAAH+OaW8=")</f>
        <v>#REF!</v>
      </c>
      <c r="DI94" s="34" t="e">
        <f>AND(#REF!,"AAAAAH+OaXA=")</f>
        <v>#REF!</v>
      </c>
      <c r="DJ94" s="34" t="e">
        <f>AND(#REF!,"AAAAAH+OaXE=")</f>
        <v>#REF!</v>
      </c>
      <c r="DK94" s="34" t="e">
        <f>AND(#REF!,"AAAAAH+OaXI=")</f>
        <v>#REF!</v>
      </c>
      <c r="DL94" s="34" t="e">
        <f>AND(#REF!,"AAAAAH+OaXM=")</f>
        <v>#REF!</v>
      </c>
      <c r="DM94" s="34" t="e">
        <f>AND(#REF!,"AAAAAH+OaXQ=")</f>
        <v>#REF!</v>
      </c>
      <c r="DN94" s="34" t="e">
        <f>AND(#REF!,"AAAAAH+OaXU=")</f>
        <v>#REF!</v>
      </c>
      <c r="DO94" s="34" t="e">
        <f>AND(#REF!,"AAAAAH+OaXY=")</f>
        <v>#REF!</v>
      </c>
      <c r="DP94" s="34" t="e">
        <f>AND(#REF!,"AAAAAH+OaXc=")</f>
        <v>#REF!</v>
      </c>
      <c r="DQ94" s="34" t="e">
        <f>AND(#REF!,"AAAAAH+OaXg=")</f>
        <v>#REF!</v>
      </c>
      <c r="DR94" s="34" t="e">
        <f>IF(#REF!,"AAAAAH+OaXk=",0)</f>
        <v>#REF!</v>
      </c>
      <c r="DS94" s="34" t="e">
        <f>AND(#REF!,"AAAAAH+OaXo=")</f>
        <v>#REF!</v>
      </c>
      <c r="DT94" s="34" t="e">
        <f>AND(#REF!,"AAAAAH+OaXs=")</f>
        <v>#REF!</v>
      </c>
      <c r="DU94" s="34" t="e">
        <f>AND(#REF!,"AAAAAH+OaXw=")</f>
        <v>#REF!</v>
      </c>
      <c r="DV94" s="34" t="e">
        <f>AND(#REF!,"AAAAAH+OaX0=")</f>
        <v>#REF!</v>
      </c>
      <c r="DW94" s="34" t="e">
        <f>AND(#REF!,"AAAAAH+OaX4=")</f>
        <v>#REF!</v>
      </c>
      <c r="DX94" s="34" t="e">
        <f>AND(#REF!,"AAAAAH+OaX8=")</f>
        <v>#REF!</v>
      </c>
      <c r="DY94" s="34" t="e">
        <f>AND(#REF!,"AAAAAH+OaYA=")</f>
        <v>#REF!</v>
      </c>
      <c r="DZ94" s="34" t="e">
        <f>AND(#REF!,"AAAAAH+OaYE=")</f>
        <v>#REF!</v>
      </c>
      <c r="EA94" s="34" t="e">
        <f>AND(#REF!,"AAAAAH+OaYI=")</f>
        <v>#REF!</v>
      </c>
      <c r="EB94" s="34" t="e">
        <f>AND(#REF!,"AAAAAH+OaYM=")</f>
        <v>#REF!</v>
      </c>
      <c r="EC94" s="34" t="e">
        <f>AND(#REF!,"AAAAAH+OaYQ=")</f>
        <v>#REF!</v>
      </c>
      <c r="ED94" s="34" t="e">
        <f>AND(#REF!,"AAAAAH+OaYU=")</f>
        <v>#REF!</v>
      </c>
      <c r="EE94" s="34" t="e">
        <f>AND(#REF!,"AAAAAH+OaYY=")</f>
        <v>#REF!</v>
      </c>
      <c r="EF94" s="34" t="e">
        <f>AND(#REF!,"AAAAAH+OaYc=")</f>
        <v>#REF!</v>
      </c>
      <c r="EG94" s="34" t="e">
        <f>AND(#REF!,"AAAAAH+OaYg=")</f>
        <v>#REF!</v>
      </c>
      <c r="EH94" s="34" t="e">
        <f>AND(#REF!,"AAAAAH+OaYk=")</f>
        <v>#REF!</v>
      </c>
      <c r="EI94" s="34" t="e">
        <f>IF(#REF!,"AAAAAH+OaYo=",0)</f>
        <v>#REF!</v>
      </c>
      <c r="EJ94" s="34" t="e">
        <f>AND(#REF!,"AAAAAH+OaYs=")</f>
        <v>#REF!</v>
      </c>
      <c r="EK94" s="34" t="e">
        <f>AND(#REF!,"AAAAAH+OaYw=")</f>
        <v>#REF!</v>
      </c>
      <c r="EL94" s="34" t="e">
        <f>AND(#REF!,"AAAAAH+OaY0=")</f>
        <v>#REF!</v>
      </c>
      <c r="EM94" s="34" t="e">
        <f>AND(#REF!,"AAAAAH+OaY4=")</f>
        <v>#REF!</v>
      </c>
      <c r="EN94" s="34" t="e">
        <f>AND(#REF!,"AAAAAH+OaY8=")</f>
        <v>#REF!</v>
      </c>
      <c r="EO94" s="34" t="e">
        <f>AND(#REF!,"AAAAAH+OaZA=")</f>
        <v>#REF!</v>
      </c>
      <c r="EP94" s="34" t="e">
        <f>AND(#REF!,"AAAAAH+OaZE=")</f>
        <v>#REF!</v>
      </c>
      <c r="EQ94" s="34" t="e">
        <f>AND(#REF!,"AAAAAH+OaZI=")</f>
        <v>#REF!</v>
      </c>
      <c r="ER94" s="34" t="e">
        <f>AND(#REF!,"AAAAAH+OaZM=")</f>
        <v>#REF!</v>
      </c>
      <c r="ES94" s="34" t="e">
        <f>AND(#REF!,"AAAAAH+OaZQ=")</f>
        <v>#REF!</v>
      </c>
      <c r="ET94" s="34" t="e">
        <f>AND(#REF!,"AAAAAH+OaZU=")</f>
        <v>#REF!</v>
      </c>
      <c r="EU94" s="34" t="e">
        <f>AND(#REF!,"AAAAAH+OaZY=")</f>
        <v>#REF!</v>
      </c>
      <c r="EV94" s="34" t="e">
        <f>AND(#REF!,"AAAAAH+OaZc=")</f>
        <v>#REF!</v>
      </c>
      <c r="EW94" s="34" t="e">
        <f>AND(#REF!,"AAAAAH+OaZg=")</f>
        <v>#REF!</v>
      </c>
      <c r="EX94" s="34" t="e">
        <f>AND(#REF!,"AAAAAH+OaZk=")</f>
        <v>#REF!</v>
      </c>
      <c r="EY94" s="34" t="e">
        <f>AND(#REF!,"AAAAAH+OaZo=")</f>
        <v>#REF!</v>
      </c>
      <c r="EZ94" s="34" t="e">
        <f>IF(#REF!,"AAAAAH+OaZs=",0)</f>
        <v>#REF!</v>
      </c>
      <c r="FA94" s="34" t="e">
        <f>IF(#REF!,"AAAAAH+OaZw=",0)</f>
        <v>#REF!</v>
      </c>
      <c r="FB94" s="34" t="e">
        <f>IF(#REF!,"AAAAAH+OaZ0=",0)</f>
        <v>#REF!</v>
      </c>
      <c r="FC94" s="34" t="e">
        <f>IF(#REF!,"AAAAAH+OaZ4=",0)</f>
        <v>#REF!</v>
      </c>
      <c r="FD94" s="34" t="e">
        <f>IF(#REF!,"AAAAAH+OaZ8=",0)</f>
        <v>#REF!</v>
      </c>
      <c r="FE94" s="34" t="e">
        <f>IF(#REF!,"AAAAAH+OaaA=",0)</f>
        <v>#REF!</v>
      </c>
      <c r="FF94" s="34" t="e">
        <f>IF(#REF!,"AAAAAH+OaaE=",0)</f>
        <v>#REF!</v>
      </c>
      <c r="FG94" s="34" t="e">
        <f>IF(#REF!,"AAAAAH+OaaI=",0)</f>
        <v>#REF!</v>
      </c>
      <c r="FH94" s="34" t="e">
        <f>IF(#REF!,"AAAAAH+OaaM=",0)</f>
        <v>#REF!</v>
      </c>
      <c r="FI94" s="34" t="e">
        <f>IF(#REF!,"AAAAAH+OaaQ=",0)</f>
        <v>#REF!</v>
      </c>
      <c r="FJ94" s="34" t="e">
        <f>IF(#REF!,"AAAAAH+OaaU=",0)</f>
        <v>#REF!</v>
      </c>
      <c r="FK94" s="34" t="e">
        <f>IF(#REF!,"AAAAAH+OaaY=",0)</f>
        <v>#REF!</v>
      </c>
      <c r="FL94" s="34" t="e">
        <f>IF(#REF!,"AAAAAH+Oaac=",0)</f>
        <v>#REF!</v>
      </c>
      <c r="FM94" s="34" t="e">
        <f>IF(#REF!,"AAAAAH+Oaag=",0)</f>
        <v>#REF!</v>
      </c>
      <c r="FN94" s="34" t="e">
        <f>IF(#REF!,"AAAAAH+Oaak=",0)</f>
        <v>#REF!</v>
      </c>
      <c r="FO94" s="34" t="e">
        <f>IF(#REF!,"AAAAAH+Oaao=",0)</f>
        <v>#REF!</v>
      </c>
      <c r="FP94" s="34" t="e">
        <f>IF(#REF!,"AAAAAH+Oaas=",0)</f>
        <v>#REF!</v>
      </c>
      <c r="FQ94" s="34" t="e">
        <f>IF(#REF!,"AAAAAH+Oaaw=",0)</f>
        <v>#REF!</v>
      </c>
      <c r="FR94" s="34" t="e">
        <f>IF(#REF!,"AAAAAH+Oaa0=",0)</f>
        <v>#REF!</v>
      </c>
      <c r="FS94" s="34" t="e">
        <f>IF(#REF!,"AAAAAH+Oaa4=",0)</f>
        <v>#REF!</v>
      </c>
      <c r="FT94" s="34" t="e">
        <f>IF(#REF!,"AAAAAH+Oaa8=",0)</f>
        <v>#REF!</v>
      </c>
      <c r="FU94" s="34" t="e">
        <f>IF(#REF!,"AAAAAH+OabA=",0)</f>
        <v>#REF!</v>
      </c>
      <c r="FV94" s="34" t="e">
        <f>IF(#REF!,"AAAAAH+OabE=",0)</f>
        <v>#REF!</v>
      </c>
      <c r="FW94" s="34" t="e">
        <f>IF(#REF!,"AAAAAH+OabI=",0)</f>
        <v>#REF!</v>
      </c>
      <c r="FX94" s="34" t="e">
        <f>IF(#REF!,"AAAAAH+OabM=",0)</f>
        <v>#REF!</v>
      </c>
      <c r="FY94" s="34" t="e">
        <f>IF(#REF!,"AAAAAH+OabQ=",0)</f>
        <v>#REF!</v>
      </c>
      <c r="FZ94" s="34" t="e">
        <f>IF(#REF!,"AAAAAH+OabU=",0)</f>
        <v>#REF!</v>
      </c>
      <c r="GA94" s="34" t="e">
        <f>IF(#REF!,"AAAAAH+OabY=",0)</f>
        <v>#REF!</v>
      </c>
      <c r="GB94" s="34" t="e">
        <f>IF(#REF!,"AAAAAH+Oabc=",0)</f>
        <v>#REF!</v>
      </c>
      <c r="GC94" s="34" t="e">
        <f>IF(#REF!,"AAAAAH+Oabg=",0)</f>
        <v>#REF!</v>
      </c>
      <c r="GD94" s="34" t="e">
        <f>IF(#REF!,"AAAAAH+Oabk=",0)</f>
        <v>#REF!</v>
      </c>
      <c r="GE94" s="34" t="e">
        <f>IF(#REF!,"AAAAAH+Oabo=",0)</f>
        <v>#REF!</v>
      </c>
      <c r="GF94" s="34" t="e">
        <f>IF(#REF!,"AAAAAH+Oabs=",0)</f>
        <v>#REF!</v>
      </c>
      <c r="GG94" s="34" t="e">
        <f>IF(#REF!,"AAAAAH+Oabw=",0)</f>
        <v>#REF!</v>
      </c>
      <c r="GH94" s="34" t="e">
        <f>IF(#REF!,"AAAAAH+Oab0=",0)</f>
        <v>#REF!</v>
      </c>
      <c r="GI94" s="34" t="e">
        <f>IF(#REF!,"AAAAAH+Oab4=",0)</f>
        <v>#REF!</v>
      </c>
      <c r="GJ94" s="34" t="e">
        <f>IF(#REF!,"AAAAAH+Oab8=",0)</f>
        <v>#REF!</v>
      </c>
      <c r="GK94" s="34" t="e">
        <f>IF(#REF!,"AAAAAH+OacA=",0)</f>
        <v>#REF!</v>
      </c>
      <c r="GL94" s="34" t="e">
        <f>IF(#REF!,"AAAAAH+OacE=",0)</f>
        <v>#REF!</v>
      </c>
      <c r="GM94" s="34" t="e">
        <f>IF(#REF!,"AAAAAH+OacI=",0)</f>
        <v>#REF!</v>
      </c>
      <c r="GN94" s="34" t="e">
        <f>IF(#REF!,"AAAAAH+OacM=",0)</f>
        <v>#REF!</v>
      </c>
      <c r="GO94" s="34" t="e">
        <f>IF(#REF!,"AAAAAH+OacQ=",0)</f>
        <v>#REF!</v>
      </c>
      <c r="GP94" s="34" t="e">
        <f>IF(#REF!,"AAAAAH+OacU=",0)</f>
        <v>#REF!</v>
      </c>
      <c r="GQ94" s="34" t="e">
        <f>IF(#REF!,"AAAAAH+OacY=",0)</f>
        <v>#REF!</v>
      </c>
      <c r="GR94" s="34" t="e">
        <f>IF(#REF!,"AAAAAH+Oacc=",0)</f>
        <v>#REF!</v>
      </c>
      <c r="GS94" s="34" t="e">
        <f>IF(#REF!,"AAAAAH+Oacg=",0)</f>
        <v>#REF!</v>
      </c>
      <c r="GT94" s="34" t="e">
        <f>IF(#REF!,"AAAAAH+Oack=",0)</f>
        <v>#REF!</v>
      </c>
      <c r="GU94" s="34" t="e">
        <f>IF(#REF!,"AAAAAH+Oaco=",0)</f>
        <v>#REF!</v>
      </c>
      <c r="GV94" s="34" t="e">
        <f>IF(#REF!,"AAAAAH+Oacs=",0)</f>
        <v>#REF!</v>
      </c>
      <c r="GW94" s="34" t="e">
        <f>IF(#REF!,"AAAAAH+Oacw=",0)</f>
        <v>#REF!</v>
      </c>
      <c r="GX94" s="34" t="e">
        <f>IF(#REF!,"AAAAAH+Oac0=",0)</f>
        <v>#REF!</v>
      </c>
      <c r="GY94" s="34" t="e">
        <f>IF(#REF!,"AAAAAH+Oac4=",0)</f>
        <v>#REF!</v>
      </c>
      <c r="GZ94" s="34" t="e">
        <f>IF(#REF!,"AAAAAH+Oac8=",0)</f>
        <v>#REF!</v>
      </c>
      <c r="HA94" s="34" t="e">
        <f>IF(#REF!,"AAAAAH+OadA=",0)</f>
        <v>#REF!</v>
      </c>
      <c r="HB94" s="34" t="e">
        <f>IF(#REF!,"AAAAAH+OadE=",0)</f>
        <v>#REF!</v>
      </c>
      <c r="HC94" s="34" t="e">
        <f>IF(#REF!,"AAAAAH+OadI=",0)</f>
        <v>#REF!</v>
      </c>
      <c r="HD94" s="34" t="e">
        <f>IF(#REF!,"AAAAAH+OadM=",0)</f>
        <v>#REF!</v>
      </c>
      <c r="HE94" s="34" t="e">
        <f>IF(#REF!,"AAAAAH+OadQ=",0)</f>
        <v>#REF!</v>
      </c>
      <c r="HF94" s="34" t="e">
        <f>IF(#REF!,"AAAAAH+OadU=",0)</f>
        <v>#REF!</v>
      </c>
      <c r="HG94" s="34" t="e">
        <f>IF(#REF!,"AAAAAH+OadY=",0)</f>
        <v>#REF!</v>
      </c>
      <c r="HH94" s="34" t="e">
        <f>IF(#REF!,"AAAAAH+Oadc=",0)</f>
        <v>#REF!</v>
      </c>
      <c r="HI94" s="34" t="e">
        <f>IF(#REF!,"AAAAAH+Oadg=",0)</f>
        <v>#REF!</v>
      </c>
      <c r="HJ94" s="34" t="e">
        <f>IF(#REF!,"AAAAAH+Oadk=",0)</f>
        <v>#REF!</v>
      </c>
      <c r="HK94" s="34" t="e">
        <f>IF(#REF!,"AAAAAH+Oado=",0)</f>
        <v>#REF!</v>
      </c>
      <c r="HL94" s="34" t="e">
        <f>IF(#REF!,"AAAAAH+Oads=",0)</f>
        <v>#REF!</v>
      </c>
      <c r="HM94" s="34" t="e">
        <f>IF(#REF!,"AAAAAH+Oadw=",0)</f>
        <v>#REF!</v>
      </c>
      <c r="HN94" s="34" t="e">
        <f>IF(#REF!,"AAAAAH+Oad0=",0)</f>
        <v>#REF!</v>
      </c>
      <c r="HO94" s="34" t="e">
        <f>AND(#REF!,"AAAAAH+Oad4=")</f>
        <v>#REF!</v>
      </c>
      <c r="HP94" s="34" t="e">
        <f>AND(#REF!,"AAAAAH+Oad8=")</f>
        <v>#REF!</v>
      </c>
      <c r="HQ94" s="34" t="e">
        <f>AND(#REF!,"AAAAAH+OaeA=")</f>
        <v>#REF!</v>
      </c>
      <c r="HR94" s="34" t="e">
        <f>AND(#REF!,"AAAAAH+OaeE=")</f>
        <v>#REF!</v>
      </c>
      <c r="HS94" s="34" t="e">
        <f>AND(#REF!,"AAAAAH+OaeI=")</f>
        <v>#REF!</v>
      </c>
      <c r="HT94" s="34" t="e">
        <f>AND(#REF!,"AAAAAH+OaeM=")</f>
        <v>#REF!</v>
      </c>
      <c r="HU94" s="34" t="e">
        <f>AND(#REF!,"AAAAAH+OaeQ=")</f>
        <v>#REF!</v>
      </c>
      <c r="HV94" s="34" t="e">
        <f>AND(#REF!,"AAAAAH+OaeU=")</f>
        <v>#REF!</v>
      </c>
      <c r="HW94" s="34" t="e">
        <f>AND(#REF!,"AAAAAH+OaeY=")</f>
        <v>#REF!</v>
      </c>
      <c r="HX94" s="34" t="e">
        <f>AND(#REF!,"AAAAAH+Oaec=")</f>
        <v>#REF!</v>
      </c>
      <c r="HY94" s="34" t="e">
        <f>AND(#REF!,"AAAAAH+Oaeg=")</f>
        <v>#REF!</v>
      </c>
      <c r="HZ94" s="34" t="e">
        <f>AND(#REF!,"AAAAAH+Oaek=")</f>
        <v>#REF!</v>
      </c>
      <c r="IA94" s="34" t="e">
        <f>AND(#REF!,"AAAAAH+Oaeo=")</f>
        <v>#REF!</v>
      </c>
      <c r="IB94" s="34" t="e">
        <f>AND(#REF!,"AAAAAH+Oaes=")</f>
        <v>#REF!</v>
      </c>
      <c r="IC94" s="34" t="e">
        <f>AND(#REF!,"AAAAAH+Oaew=")</f>
        <v>#REF!</v>
      </c>
      <c r="ID94" s="34" t="e">
        <f>AND(#REF!,"AAAAAH+Oae0=")</f>
        <v>#REF!</v>
      </c>
      <c r="IE94" s="34" t="e">
        <f>IF(#REF!,"AAAAAH+Oae4=",0)</f>
        <v>#REF!</v>
      </c>
      <c r="IF94" s="34" t="e">
        <f>AND(#REF!,"AAAAAH+Oae8=")</f>
        <v>#REF!</v>
      </c>
      <c r="IG94" s="34" t="e">
        <f>AND(#REF!,"AAAAAH+OafA=")</f>
        <v>#REF!</v>
      </c>
      <c r="IH94" s="34" t="e">
        <f>AND(#REF!,"AAAAAH+OafE=")</f>
        <v>#REF!</v>
      </c>
      <c r="II94" s="34" t="e">
        <f>AND(#REF!,"AAAAAH+OafI=")</f>
        <v>#REF!</v>
      </c>
      <c r="IJ94" s="34" t="e">
        <f>AND(#REF!,"AAAAAH+OafM=")</f>
        <v>#REF!</v>
      </c>
      <c r="IK94" s="34" t="e">
        <f>AND(#REF!,"AAAAAH+OafQ=")</f>
        <v>#REF!</v>
      </c>
      <c r="IL94" s="34" t="e">
        <f>AND(#REF!,"AAAAAH+OafU=")</f>
        <v>#REF!</v>
      </c>
      <c r="IM94" s="34" t="e">
        <f>AND(#REF!,"AAAAAH+OafY=")</f>
        <v>#REF!</v>
      </c>
      <c r="IN94" s="34" t="e">
        <f>AND(#REF!,"AAAAAH+Oafc=")</f>
        <v>#REF!</v>
      </c>
      <c r="IO94" s="34" t="e">
        <f>AND(#REF!,"AAAAAH+Oafg=")</f>
        <v>#REF!</v>
      </c>
      <c r="IP94" s="34" t="e">
        <f>AND(#REF!,"AAAAAH+Oafk=")</f>
        <v>#REF!</v>
      </c>
      <c r="IQ94" s="34" t="e">
        <f>AND(#REF!,"AAAAAH+Oafo=")</f>
        <v>#REF!</v>
      </c>
      <c r="IR94" s="34" t="e">
        <f>AND(#REF!,"AAAAAH+Oafs=")</f>
        <v>#REF!</v>
      </c>
      <c r="IS94" s="34" t="e">
        <f>AND(#REF!,"AAAAAH+Oafw=")</f>
        <v>#REF!</v>
      </c>
      <c r="IT94" s="34" t="e">
        <f>AND(#REF!,"AAAAAH+Oaf0=")</f>
        <v>#REF!</v>
      </c>
      <c r="IU94" s="34" t="e">
        <f>AND(#REF!,"AAAAAH+Oaf4=")</f>
        <v>#REF!</v>
      </c>
      <c r="IV94" s="34" t="e">
        <f>IF(#REF!,"AAAAAH+Oaf8=",0)</f>
        <v>#REF!</v>
      </c>
    </row>
    <row r="95" spans="1:256" ht="12.75" customHeight="1" x14ac:dyDescent="0.2">
      <c r="A95" s="34" t="e">
        <f>AND(#REF!,"AAAAAHyP3wA=")</f>
        <v>#REF!</v>
      </c>
      <c r="B95" s="34" t="e">
        <f>AND(#REF!,"AAAAAHyP3wE=")</f>
        <v>#REF!</v>
      </c>
      <c r="C95" s="34" t="e">
        <f>AND(#REF!,"AAAAAHyP3wI=")</f>
        <v>#REF!</v>
      </c>
      <c r="D95" s="34" t="e">
        <f>AND(#REF!,"AAAAAHyP3wM=")</f>
        <v>#REF!</v>
      </c>
      <c r="E95" s="34" t="e">
        <f>AND(#REF!,"AAAAAHyP3wQ=")</f>
        <v>#REF!</v>
      </c>
      <c r="F95" s="34" t="e">
        <f>AND(#REF!,"AAAAAHyP3wU=")</f>
        <v>#REF!</v>
      </c>
      <c r="G95" s="34" t="e">
        <f>AND(#REF!,"AAAAAHyP3wY=")</f>
        <v>#REF!</v>
      </c>
      <c r="H95" s="34" t="e">
        <f>AND(#REF!,"AAAAAHyP3wc=")</f>
        <v>#REF!</v>
      </c>
      <c r="I95" s="34" t="e">
        <f>AND(#REF!,"AAAAAHyP3wg=")</f>
        <v>#REF!</v>
      </c>
      <c r="J95" s="34" t="e">
        <f>AND(#REF!,"AAAAAHyP3wk=")</f>
        <v>#REF!</v>
      </c>
      <c r="K95" s="34" t="e">
        <f>AND(#REF!,"AAAAAHyP3wo=")</f>
        <v>#REF!</v>
      </c>
      <c r="L95" s="34" t="e">
        <f>AND(#REF!,"AAAAAHyP3ws=")</f>
        <v>#REF!</v>
      </c>
      <c r="M95" s="34" t="e">
        <f>AND(#REF!,"AAAAAHyP3ww=")</f>
        <v>#REF!</v>
      </c>
      <c r="N95" s="34" t="e">
        <f>AND(#REF!,"AAAAAHyP3w0=")</f>
        <v>#REF!</v>
      </c>
      <c r="O95" s="34" t="e">
        <f>AND(#REF!,"AAAAAHyP3w4=")</f>
        <v>#REF!</v>
      </c>
      <c r="P95" s="34" t="e">
        <f>AND(#REF!,"AAAAAHyP3w8=")</f>
        <v>#REF!</v>
      </c>
      <c r="Q95" s="34" t="e">
        <f>IF(#REF!,"AAAAAHyP3xA=",0)</f>
        <v>#REF!</v>
      </c>
      <c r="R95" s="34" t="e">
        <f>AND(#REF!,"AAAAAHyP3xE=")</f>
        <v>#REF!</v>
      </c>
      <c r="S95" s="34" t="e">
        <f>AND(#REF!,"AAAAAHyP3xI=")</f>
        <v>#REF!</v>
      </c>
      <c r="T95" s="34" t="e">
        <f>AND(#REF!,"AAAAAHyP3xM=")</f>
        <v>#REF!</v>
      </c>
      <c r="U95" s="34" t="e">
        <f>AND(#REF!,"AAAAAHyP3xQ=")</f>
        <v>#REF!</v>
      </c>
      <c r="V95" s="34" t="e">
        <f>AND(#REF!,"AAAAAHyP3xU=")</f>
        <v>#REF!</v>
      </c>
      <c r="W95" s="34" t="e">
        <f>AND(#REF!,"AAAAAHyP3xY=")</f>
        <v>#REF!</v>
      </c>
      <c r="X95" s="34" t="e">
        <f>AND(#REF!,"AAAAAHyP3xc=")</f>
        <v>#REF!</v>
      </c>
      <c r="Y95" s="34" t="e">
        <f>AND(#REF!,"AAAAAHyP3xg=")</f>
        <v>#REF!</v>
      </c>
      <c r="Z95" s="34" t="e">
        <f>AND(#REF!,"AAAAAHyP3xk=")</f>
        <v>#REF!</v>
      </c>
      <c r="AA95" s="34" t="e">
        <f>AND(#REF!,"AAAAAHyP3xo=")</f>
        <v>#REF!</v>
      </c>
      <c r="AB95" s="34" t="e">
        <f>AND(#REF!,"AAAAAHyP3xs=")</f>
        <v>#REF!</v>
      </c>
      <c r="AC95" s="34" t="e">
        <f>AND(#REF!,"AAAAAHyP3xw=")</f>
        <v>#REF!</v>
      </c>
      <c r="AD95" s="34" t="e">
        <f>AND(#REF!,"AAAAAHyP3x0=")</f>
        <v>#REF!</v>
      </c>
      <c r="AE95" s="34" t="e">
        <f>AND(#REF!,"AAAAAHyP3x4=")</f>
        <v>#REF!</v>
      </c>
      <c r="AF95" s="34" t="e">
        <f>AND(#REF!,"AAAAAHyP3x8=")</f>
        <v>#REF!</v>
      </c>
      <c r="AG95" s="34" t="e">
        <f>AND(#REF!,"AAAAAHyP3yA=")</f>
        <v>#REF!</v>
      </c>
      <c r="AH95" s="34" t="e">
        <f>IF(#REF!,"AAAAAHyP3yE=",0)</f>
        <v>#REF!</v>
      </c>
      <c r="AI95" s="34" t="e">
        <f>AND(#REF!,"AAAAAHyP3yI=")</f>
        <v>#REF!</v>
      </c>
      <c r="AJ95" s="34" t="e">
        <f>AND(#REF!,"AAAAAHyP3yM=")</f>
        <v>#REF!</v>
      </c>
      <c r="AK95" s="34" t="e">
        <f>AND(#REF!,"AAAAAHyP3yQ=")</f>
        <v>#REF!</v>
      </c>
      <c r="AL95" s="34" t="e">
        <f>AND(#REF!,"AAAAAHyP3yU=")</f>
        <v>#REF!</v>
      </c>
      <c r="AM95" s="34" t="e">
        <f>AND(#REF!,"AAAAAHyP3yY=")</f>
        <v>#REF!</v>
      </c>
      <c r="AN95" s="34" t="e">
        <f>AND(#REF!,"AAAAAHyP3yc=")</f>
        <v>#REF!</v>
      </c>
      <c r="AO95" s="34" t="e">
        <f>AND(#REF!,"AAAAAHyP3yg=")</f>
        <v>#REF!</v>
      </c>
      <c r="AP95" s="34" t="e">
        <f>AND(#REF!,"AAAAAHyP3yk=")</f>
        <v>#REF!</v>
      </c>
      <c r="AQ95" s="34" t="e">
        <f>AND(#REF!,"AAAAAHyP3yo=")</f>
        <v>#REF!</v>
      </c>
      <c r="AR95" s="34" t="e">
        <f>AND(#REF!,"AAAAAHyP3ys=")</f>
        <v>#REF!</v>
      </c>
      <c r="AS95" s="34" t="e">
        <f>AND(#REF!,"AAAAAHyP3yw=")</f>
        <v>#REF!</v>
      </c>
      <c r="AT95" s="34" t="e">
        <f>AND(#REF!,"AAAAAHyP3y0=")</f>
        <v>#REF!</v>
      </c>
      <c r="AU95" s="34" t="e">
        <f>AND(#REF!,"AAAAAHyP3y4=")</f>
        <v>#REF!</v>
      </c>
      <c r="AV95" s="34" t="e">
        <f>AND(#REF!,"AAAAAHyP3y8=")</f>
        <v>#REF!</v>
      </c>
      <c r="AW95" s="34" t="e">
        <f>AND(#REF!,"AAAAAHyP3zA=")</f>
        <v>#REF!</v>
      </c>
      <c r="AX95" s="34" t="e">
        <f>AND(#REF!,"AAAAAHyP3zE=")</f>
        <v>#REF!</v>
      </c>
      <c r="AY95" s="34" t="e">
        <f>IF(#REF!,"AAAAAHyP3zI=",0)</f>
        <v>#REF!</v>
      </c>
      <c r="AZ95" s="34" t="e">
        <f>AND(#REF!,"AAAAAHyP3zM=")</f>
        <v>#REF!</v>
      </c>
      <c r="BA95" s="34" t="e">
        <f>AND(#REF!,"AAAAAHyP3zQ=")</f>
        <v>#REF!</v>
      </c>
      <c r="BB95" s="34" t="e">
        <f>AND(#REF!,"AAAAAHyP3zU=")</f>
        <v>#REF!</v>
      </c>
      <c r="BC95" s="34" t="e">
        <f>AND(#REF!,"AAAAAHyP3zY=")</f>
        <v>#REF!</v>
      </c>
      <c r="BD95" s="34" t="e">
        <f>AND(#REF!,"AAAAAHyP3zc=")</f>
        <v>#REF!</v>
      </c>
      <c r="BE95" s="34" t="e">
        <f>AND(#REF!,"AAAAAHyP3zg=")</f>
        <v>#REF!</v>
      </c>
      <c r="BF95" s="34" t="e">
        <f>AND(#REF!,"AAAAAHyP3zk=")</f>
        <v>#REF!</v>
      </c>
      <c r="BG95" s="34" t="e">
        <f>AND(#REF!,"AAAAAHyP3zo=")</f>
        <v>#REF!</v>
      </c>
      <c r="BH95" s="34" t="e">
        <f>AND(#REF!,"AAAAAHyP3zs=")</f>
        <v>#REF!</v>
      </c>
      <c r="BI95" s="34" t="e">
        <f>AND(#REF!,"AAAAAHyP3zw=")</f>
        <v>#REF!</v>
      </c>
      <c r="BJ95" s="34" t="e">
        <f>AND(#REF!,"AAAAAHyP3z0=")</f>
        <v>#REF!</v>
      </c>
      <c r="BK95" s="34" t="e">
        <f>AND(#REF!,"AAAAAHyP3z4=")</f>
        <v>#REF!</v>
      </c>
      <c r="BL95" s="34" t="e">
        <f>AND(#REF!,"AAAAAHyP3z8=")</f>
        <v>#REF!</v>
      </c>
      <c r="BM95" s="34" t="e">
        <f>AND(#REF!,"AAAAAHyP30A=")</f>
        <v>#REF!</v>
      </c>
      <c r="BN95" s="34" t="e">
        <f>AND(#REF!,"AAAAAHyP30E=")</f>
        <v>#REF!</v>
      </c>
      <c r="BO95" s="34" t="e">
        <f>AND(#REF!,"AAAAAHyP30I=")</f>
        <v>#REF!</v>
      </c>
      <c r="BP95" s="34" t="e">
        <f>IF(#REF!,"AAAAAHyP30M=",0)</f>
        <v>#REF!</v>
      </c>
      <c r="BQ95" s="34" t="e">
        <f>AND(#REF!,"AAAAAHyP30Q=")</f>
        <v>#REF!</v>
      </c>
      <c r="BR95" s="34" t="e">
        <f>AND(#REF!,"AAAAAHyP30U=")</f>
        <v>#REF!</v>
      </c>
      <c r="BS95" s="34" t="e">
        <f>AND(#REF!,"AAAAAHyP30Y=")</f>
        <v>#REF!</v>
      </c>
      <c r="BT95" s="34" t="e">
        <f>AND(#REF!,"AAAAAHyP30c=")</f>
        <v>#REF!</v>
      </c>
      <c r="BU95" s="34" t="e">
        <f>AND(#REF!,"AAAAAHyP30g=")</f>
        <v>#REF!</v>
      </c>
      <c r="BV95" s="34" t="e">
        <f>AND(#REF!,"AAAAAHyP30k=")</f>
        <v>#REF!</v>
      </c>
      <c r="BW95" s="34" t="e">
        <f>AND(#REF!,"AAAAAHyP30o=")</f>
        <v>#REF!</v>
      </c>
      <c r="BX95" s="34" t="e">
        <f>AND(#REF!,"AAAAAHyP30s=")</f>
        <v>#REF!</v>
      </c>
      <c r="BY95" s="34" t="e">
        <f>AND(#REF!,"AAAAAHyP30w=")</f>
        <v>#REF!</v>
      </c>
      <c r="BZ95" s="34" t="e">
        <f>AND(#REF!,"AAAAAHyP300=")</f>
        <v>#REF!</v>
      </c>
      <c r="CA95" s="34" t="e">
        <f>AND(#REF!,"AAAAAHyP304=")</f>
        <v>#REF!</v>
      </c>
      <c r="CB95" s="34" t="e">
        <f>AND(#REF!,"AAAAAHyP308=")</f>
        <v>#REF!</v>
      </c>
      <c r="CC95" s="34" t="e">
        <f>AND(#REF!,"AAAAAHyP31A=")</f>
        <v>#REF!</v>
      </c>
      <c r="CD95" s="34" t="e">
        <f>AND(#REF!,"AAAAAHyP31E=")</f>
        <v>#REF!</v>
      </c>
      <c r="CE95" s="34" t="e">
        <f>AND(#REF!,"AAAAAHyP31I=")</f>
        <v>#REF!</v>
      </c>
      <c r="CF95" s="34" t="e">
        <f>AND(#REF!,"AAAAAHyP31M=")</f>
        <v>#REF!</v>
      </c>
      <c r="CG95" s="34" t="e">
        <f>IF(#REF!,"AAAAAHyP31Q=",0)</f>
        <v>#REF!</v>
      </c>
      <c r="CH95" s="34" t="e">
        <f>AND(#REF!,"AAAAAHyP31U=")</f>
        <v>#REF!</v>
      </c>
      <c r="CI95" s="34" t="e">
        <f>AND(#REF!,"AAAAAHyP31Y=")</f>
        <v>#REF!</v>
      </c>
      <c r="CJ95" s="34" t="e">
        <f>AND(#REF!,"AAAAAHyP31c=")</f>
        <v>#REF!</v>
      </c>
      <c r="CK95" s="34" t="e">
        <f>AND(#REF!,"AAAAAHyP31g=")</f>
        <v>#REF!</v>
      </c>
      <c r="CL95" s="34" t="e">
        <f>AND(#REF!,"AAAAAHyP31k=")</f>
        <v>#REF!</v>
      </c>
      <c r="CM95" s="34" t="e">
        <f>AND(#REF!,"AAAAAHyP31o=")</f>
        <v>#REF!</v>
      </c>
      <c r="CN95" s="34" t="e">
        <f>AND(#REF!,"AAAAAHyP31s=")</f>
        <v>#REF!</v>
      </c>
      <c r="CO95" s="34" t="e">
        <f>AND(#REF!,"AAAAAHyP31w=")</f>
        <v>#REF!</v>
      </c>
      <c r="CP95" s="34" t="e">
        <f>AND(#REF!,"AAAAAHyP310=")</f>
        <v>#REF!</v>
      </c>
      <c r="CQ95" s="34" t="e">
        <f>AND(#REF!,"AAAAAHyP314=")</f>
        <v>#REF!</v>
      </c>
      <c r="CR95" s="34" t="e">
        <f>AND(#REF!,"AAAAAHyP318=")</f>
        <v>#REF!</v>
      </c>
      <c r="CS95" s="34" t="e">
        <f>AND(#REF!,"AAAAAHyP32A=")</f>
        <v>#REF!</v>
      </c>
      <c r="CT95" s="34" t="e">
        <f>AND(#REF!,"AAAAAHyP32E=")</f>
        <v>#REF!</v>
      </c>
      <c r="CU95" s="34" t="e">
        <f>AND(#REF!,"AAAAAHyP32I=")</f>
        <v>#REF!</v>
      </c>
      <c r="CV95" s="34" t="e">
        <f>AND(#REF!,"AAAAAHyP32M=")</f>
        <v>#REF!</v>
      </c>
      <c r="CW95" s="34" t="e">
        <f>AND(#REF!,"AAAAAHyP32Q=")</f>
        <v>#REF!</v>
      </c>
      <c r="CX95" s="34" t="e">
        <f>IF(#REF!,"AAAAAHyP32U=",0)</f>
        <v>#REF!</v>
      </c>
      <c r="CY95" s="34" t="e">
        <f>AND(#REF!,"AAAAAHyP32Y=")</f>
        <v>#REF!</v>
      </c>
      <c r="CZ95" s="34" t="e">
        <f>AND(#REF!,"AAAAAHyP32c=")</f>
        <v>#REF!</v>
      </c>
      <c r="DA95" s="34" t="e">
        <f>AND(#REF!,"AAAAAHyP32g=")</f>
        <v>#REF!</v>
      </c>
      <c r="DB95" s="34" t="e">
        <f>AND(#REF!,"AAAAAHyP32k=")</f>
        <v>#REF!</v>
      </c>
      <c r="DC95" s="34" t="e">
        <f>AND(#REF!,"AAAAAHyP32o=")</f>
        <v>#REF!</v>
      </c>
      <c r="DD95" s="34" t="e">
        <f>AND(#REF!,"AAAAAHyP32s=")</f>
        <v>#REF!</v>
      </c>
      <c r="DE95" s="34" t="e">
        <f>AND(#REF!,"AAAAAHyP32w=")</f>
        <v>#REF!</v>
      </c>
      <c r="DF95" s="34" t="e">
        <f>AND(#REF!,"AAAAAHyP320=")</f>
        <v>#REF!</v>
      </c>
      <c r="DG95" s="34" t="e">
        <f>AND(#REF!,"AAAAAHyP324=")</f>
        <v>#REF!</v>
      </c>
      <c r="DH95" s="34" t="e">
        <f>AND(#REF!,"AAAAAHyP328=")</f>
        <v>#REF!</v>
      </c>
      <c r="DI95" s="34" t="e">
        <f>AND(#REF!,"AAAAAHyP33A=")</f>
        <v>#REF!</v>
      </c>
      <c r="DJ95" s="34" t="e">
        <f>AND(#REF!,"AAAAAHyP33E=")</f>
        <v>#REF!</v>
      </c>
      <c r="DK95" s="34" t="e">
        <f>AND(#REF!,"AAAAAHyP33I=")</f>
        <v>#REF!</v>
      </c>
      <c r="DL95" s="34" t="e">
        <f>AND(#REF!,"AAAAAHyP33M=")</f>
        <v>#REF!</v>
      </c>
      <c r="DM95" s="34" t="e">
        <f>AND(#REF!,"AAAAAHyP33Q=")</f>
        <v>#REF!</v>
      </c>
      <c r="DN95" s="34" t="e">
        <f>AND(#REF!,"AAAAAHyP33U=")</f>
        <v>#REF!</v>
      </c>
      <c r="DO95" s="34" t="e">
        <f>IF(#REF!,"AAAAAHyP33Y=",0)</f>
        <v>#REF!</v>
      </c>
      <c r="DP95" s="34" t="e">
        <f>AND(#REF!,"AAAAAHyP33c=")</f>
        <v>#REF!</v>
      </c>
      <c r="DQ95" s="34" t="e">
        <f>AND(#REF!,"AAAAAHyP33g=")</f>
        <v>#REF!</v>
      </c>
      <c r="DR95" s="34" t="e">
        <f>AND(#REF!,"AAAAAHyP33k=")</f>
        <v>#REF!</v>
      </c>
      <c r="DS95" s="34" t="e">
        <f>AND(#REF!,"AAAAAHyP33o=")</f>
        <v>#REF!</v>
      </c>
      <c r="DT95" s="34" t="e">
        <f>AND(#REF!,"AAAAAHyP33s=")</f>
        <v>#REF!</v>
      </c>
      <c r="DU95" s="34" t="e">
        <f>AND(#REF!,"AAAAAHyP33w=")</f>
        <v>#REF!</v>
      </c>
      <c r="DV95" s="34" t="e">
        <f>AND(#REF!,"AAAAAHyP330=")</f>
        <v>#REF!</v>
      </c>
      <c r="DW95" s="34" t="e">
        <f>AND(#REF!,"AAAAAHyP334=")</f>
        <v>#REF!</v>
      </c>
      <c r="DX95" s="34" t="e">
        <f>AND(#REF!,"AAAAAHyP338=")</f>
        <v>#REF!</v>
      </c>
      <c r="DY95" s="34" t="e">
        <f>AND(#REF!,"AAAAAHyP34A=")</f>
        <v>#REF!</v>
      </c>
      <c r="DZ95" s="34" t="e">
        <f>AND(#REF!,"AAAAAHyP34E=")</f>
        <v>#REF!</v>
      </c>
      <c r="EA95" s="34" t="e">
        <f>AND(#REF!,"AAAAAHyP34I=")</f>
        <v>#REF!</v>
      </c>
      <c r="EB95" s="34" t="e">
        <f>AND(#REF!,"AAAAAHyP34M=")</f>
        <v>#REF!</v>
      </c>
      <c r="EC95" s="34" t="e">
        <f>AND(#REF!,"AAAAAHyP34Q=")</f>
        <v>#REF!</v>
      </c>
      <c r="ED95" s="34" t="e">
        <f>AND(#REF!,"AAAAAHyP34U=")</f>
        <v>#REF!</v>
      </c>
      <c r="EE95" s="34" t="e">
        <f>AND(#REF!,"AAAAAHyP34Y=")</f>
        <v>#REF!</v>
      </c>
      <c r="EF95" s="34" t="e">
        <f>IF(#REF!,"AAAAAHyP34c=",0)</f>
        <v>#REF!</v>
      </c>
      <c r="EG95" s="34" t="e">
        <f>AND(#REF!,"AAAAAHyP34g=")</f>
        <v>#REF!</v>
      </c>
      <c r="EH95" s="34" t="e">
        <f>AND(#REF!,"AAAAAHyP34k=")</f>
        <v>#REF!</v>
      </c>
      <c r="EI95" s="34" t="e">
        <f>AND(#REF!,"AAAAAHyP34o=")</f>
        <v>#REF!</v>
      </c>
      <c r="EJ95" s="34" t="e">
        <f>AND(#REF!,"AAAAAHyP34s=")</f>
        <v>#REF!</v>
      </c>
      <c r="EK95" s="34" t="e">
        <f>AND(#REF!,"AAAAAHyP34w=")</f>
        <v>#REF!</v>
      </c>
      <c r="EL95" s="34" t="e">
        <f>AND(#REF!,"AAAAAHyP340=")</f>
        <v>#REF!</v>
      </c>
      <c r="EM95" s="34" t="e">
        <f>AND(#REF!,"AAAAAHyP344=")</f>
        <v>#REF!</v>
      </c>
      <c r="EN95" s="34" t="e">
        <f>AND(#REF!,"AAAAAHyP348=")</f>
        <v>#REF!</v>
      </c>
      <c r="EO95" s="34" t="e">
        <f>AND(#REF!,"AAAAAHyP35A=")</f>
        <v>#REF!</v>
      </c>
      <c r="EP95" s="34" t="e">
        <f>AND(#REF!,"AAAAAHyP35E=")</f>
        <v>#REF!</v>
      </c>
      <c r="EQ95" s="34" t="e">
        <f>AND(#REF!,"AAAAAHyP35I=")</f>
        <v>#REF!</v>
      </c>
      <c r="ER95" s="34" t="e">
        <f>AND(#REF!,"AAAAAHyP35M=")</f>
        <v>#REF!</v>
      </c>
      <c r="ES95" s="34" t="e">
        <f>AND(#REF!,"AAAAAHyP35Q=")</f>
        <v>#REF!</v>
      </c>
      <c r="ET95" s="34" t="e">
        <f>AND(#REF!,"AAAAAHyP35U=")</f>
        <v>#REF!</v>
      </c>
      <c r="EU95" s="34" t="e">
        <f>AND(#REF!,"AAAAAHyP35Y=")</f>
        <v>#REF!</v>
      </c>
      <c r="EV95" s="34" t="e">
        <f>AND(#REF!,"AAAAAHyP35c=")</f>
        <v>#REF!</v>
      </c>
      <c r="EW95" s="34" t="e">
        <f>IF(#REF!,"AAAAAHyP35g=",0)</f>
        <v>#REF!</v>
      </c>
      <c r="EX95" s="34" t="e">
        <f>AND(#REF!,"AAAAAHyP35k=")</f>
        <v>#REF!</v>
      </c>
      <c r="EY95" s="34" t="e">
        <f>AND(#REF!,"AAAAAHyP35o=")</f>
        <v>#REF!</v>
      </c>
      <c r="EZ95" s="34" t="e">
        <f>AND(#REF!,"AAAAAHyP35s=")</f>
        <v>#REF!</v>
      </c>
      <c r="FA95" s="34" t="e">
        <f>AND(#REF!,"AAAAAHyP35w=")</f>
        <v>#REF!</v>
      </c>
      <c r="FB95" s="34" t="e">
        <f>AND(#REF!,"AAAAAHyP350=")</f>
        <v>#REF!</v>
      </c>
      <c r="FC95" s="34" t="e">
        <f>AND(#REF!,"AAAAAHyP354=")</f>
        <v>#REF!</v>
      </c>
      <c r="FD95" s="34" t="e">
        <f>AND(#REF!,"AAAAAHyP358=")</f>
        <v>#REF!</v>
      </c>
      <c r="FE95" s="34" t="e">
        <f>AND(#REF!,"AAAAAHyP36A=")</f>
        <v>#REF!</v>
      </c>
      <c r="FF95" s="34" t="e">
        <f>AND(#REF!,"AAAAAHyP36E=")</f>
        <v>#REF!</v>
      </c>
      <c r="FG95" s="34" t="e">
        <f>AND(#REF!,"AAAAAHyP36I=")</f>
        <v>#REF!</v>
      </c>
      <c r="FH95" s="34" t="e">
        <f>AND(#REF!,"AAAAAHyP36M=")</f>
        <v>#REF!</v>
      </c>
      <c r="FI95" s="34" t="e">
        <f>AND(#REF!,"AAAAAHyP36Q=")</f>
        <v>#REF!</v>
      </c>
      <c r="FJ95" s="34" t="e">
        <f>AND(#REF!,"AAAAAHyP36U=")</f>
        <v>#REF!</v>
      </c>
      <c r="FK95" s="34" t="e">
        <f>AND(#REF!,"AAAAAHyP36Y=")</f>
        <v>#REF!</v>
      </c>
      <c r="FL95" s="34" t="e">
        <f>AND(#REF!,"AAAAAHyP36c=")</f>
        <v>#REF!</v>
      </c>
      <c r="FM95" s="34" t="e">
        <f>AND(#REF!,"AAAAAHyP36g=")</f>
        <v>#REF!</v>
      </c>
      <c r="FN95" s="34" t="e">
        <f>IF(#REF!,"AAAAAHyP36k=",0)</f>
        <v>#REF!</v>
      </c>
      <c r="FO95" s="34" t="e">
        <f>AND(#REF!,"AAAAAHyP36o=")</f>
        <v>#REF!</v>
      </c>
      <c r="FP95" s="34" t="e">
        <f>AND(#REF!,"AAAAAHyP36s=")</f>
        <v>#REF!</v>
      </c>
      <c r="FQ95" s="34" t="e">
        <f>AND(#REF!,"AAAAAHyP36w=")</f>
        <v>#REF!</v>
      </c>
      <c r="FR95" s="34" t="e">
        <f>AND(#REF!,"AAAAAHyP360=")</f>
        <v>#REF!</v>
      </c>
      <c r="FS95" s="34" t="e">
        <f>AND(#REF!,"AAAAAHyP364=")</f>
        <v>#REF!</v>
      </c>
      <c r="FT95" s="34" t="e">
        <f>AND(#REF!,"AAAAAHyP368=")</f>
        <v>#REF!</v>
      </c>
      <c r="FU95" s="34" t="e">
        <f>AND(#REF!,"AAAAAHyP37A=")</f>
        <v>#REF!</v>
      </c>
      <c r="FV95" s="34" t="e">
        <f>AND(#REF!,"AAAAAHyP37E=")</f>
        <v>#REF!</v>
      </c>
      <c r="FW95" s="34" t="e">
        <f>AND(#REF!,"AAAAAHyP37I=")</f>
        <v>#REF!</v>
      </c>
      <c r="FX95" s="34" t="e">
        <f>AND(#REF!,"AAAAAHyP37M=")</f>
        <v>#REF!</v>
      </c>
      <c r="FY95" s="34" t="e">
        <f>AND(#REF!,"AAAAAHyP37Q=")</f>
        <v>#REF!</v>
      </c>
      <c r="FZ95" s="34" t="e">
        <f>AND(#REF!,"AAAAAHyP37U=")</f>
        <v>#REF!</v>
      </c>
      <c r="GA95" s="34" t="e">
        <f>AND(#REF!,"AAAAAHyP37Y=")</f>
        <v>#REF!</v>
      </c>
      <c r="GB95" s="34" t="e">
        <f>AND(#REF!,"AAAAAHyP37c=")</f>
        <v>#REF!</v>
      </c>
      <c r="GC95" s="34" t="e">
        <f>AND(#REF!,"AAAAAHyP37g=")</f>
        <v>#REF!</v>
      </c>
      <c r="GD95" s="34" t="e">
        <f>AND(#REF!,"AAAAAHyP37k=")</f>
        <v>#REF!</v>
      </c>
      <c r="GE95" s="34" t="e">
        <f>IF(#REF!,"AAAAAHyP37o=",0)</f>
        <v>#REF!</v>
      </c>
      <c r="GF95" s="34" t="e">
        <f>AND(#REF!,"AAAAAHyP37s=")</f>
        <v>#REF!</v>
      </c>
      <c r="GG95" s="34" t="e">
        <f>AND(#REF!,"AAAAAHyP37w=")</f>
        <v>#REF!</v>
      </c>
      <c r="GH95" s="34" t="e">
        <f>AND(#REF!,"AAAAAHyP370=")</f>
        <v>#REF!</v>
      </c>
      <c r="GI95" s="34" t="e">
        <f>AND(#REF!,"AAAAAHyP374=")</f>
        <v>#REF!</v>
      </c>
      <c r="GJ95" s="34" t="e">
        <f>AND(#REF!,"AAAAAHyP378=")</f>
        <v>#REF!</v>
      </c>
      <c r="GK95" s="34" t="e">
        <f>AND(#REF!,"AAAAAHyP38A=")</f>
        <v>#REF!</v>
      </c>
      <c r="GL95" s="34" t="e">
        <f>AND(#REF!,"AAAAAHyP38E=")</f>
        <v>#REF!</v>
      </c>
      <c r="GM95" s="34" t="e">
        <f>AND(#REF!,"AAAAAHyP38I=")</f>
        <v>#REF!</v>
      </c>
      <c r="GN95" s="34" t="e">
        <f>AND(#REF!,"AAAAAHyP38M=")</f>
        <v>#REF!</v>
      </c>
      <c r="GO95" s="34" t="e">
        <f>AND(#REF!,"AAAAAHyP38Q=")</f>
        <v>#REF!</v>
      </c>
      <c r="GP95" s="34" t="e">
        <f>AND(#REF!,"AAAAAHyP38U=")</f>
        <v>#REF!</v>
      </c>
      <c r="GQ95" s="34" t="e">
        <f>AND(#REF!,"AAAAAHyP38Y=")</f>
        <v>#REF!</v>
      </c>
      <c r="GR95" s="34" t="e">
        <f>AND(#REF!,"AAAAAHyP38c=")</f>
        <v>#REF!</v>
      </c>
      <c r="GS95" s="34" t="e">
        <f>AND(#REF!,"AAAAAHyP38g=")</f>
        <v>#REF!</v>
      </c>
      <c r="GT95" s="34" t="e">
        <f>AND(#REF!,"AAAAAHyP38k=")</f>
        <v>#REF!</v>
      </c>
      <c r="GU95" s="34" t="e">
        <f>AND(#REF!,"AAAAAHyP38o=")</f>
        <v>#REF!</v>
      </c>
      <c r="GV95" s="34" t="e">
        <f>IF(#REF!,"AAAAAHyP38s=",0)</f>
        <v>#REF!</v>
      </c>
      <c r="GW95" s="34" t="e">
        <f>AND(#REF!,"AAAAAHyP38w=")</f>
        <v>#REF!</v>
      </c>
      <c r="GX95" s="34" t="e">
        <f>AND(#REF!,"AAAAAHyP380=")</f>
        <v>#REF!</v>
      </c>
      <c r="GY95" s="34" t="e">
        <f>AND(#REF!,"AAAAAHyP384=")</f>
        <v>#REF!</v>
      </c>
      <c r="GZ95" s="34" t="e">
        <f>AND(#REF!,"AAAAAHyP388=")</f>
        <v>#REF!</v>
      </c>
      <c r="HA95" s="34" t="e">
        <f>AND(#REF!,"AAAAAHyP39A=")</f>
        <v>#REF!</v>
      </c>
      <c r="HB95" s="34" t="e">
        <f>AND(#REF!,"AAAAAHyP39E=")</f>
        <v>#REF!</v>
      </c>
      <c r="HC95" s="34" t="e">
        <f>AND(#REF!,"AAAAAHyP39I=")</f>
        <v>#REF!</v>
      </c>
      <c r="HD95" s="34" t="e">
        <f>AND(#REF!,"AAAAAHyP39M=")</f>
        <v>#REF!</v>
      </c>
      <c r="HE95" s="34" t="e">
        <f>AND(#REF!,"AAAAAHyP39Q=")</f>
        <v>#REF!</v>
      </c>
      <c r="HF95" s="34" t="e">
        <f>AND(#REF!,"AAAAAHyP39U=")</f>
        <v>#REF!</v>
      </c>
      <c r="HG95" s="34" t="e">
        <f>AND(#REF!,"AAAAAHyP39Y=")</f>
        <v>#REF!</v>
      </c>
      <c r="HH95" s="34" t="e">
        <f>AND(#REF!,"AAAAAHyP39c=")</f>
        <v>#REF!</v>
      </c>
      <c r="HI95" s="34" t="e">
        <f>AND(#REF!,"AAAAAHyP39g=")</f>
        <v>#REF!</v>
      </c>
      <c r="HJ95" s="34" t="e">
        <f>AND(#REF!,"AAAAAHyP39k=")</f>
        <v>#REF!</v>
      </c>
      <c r="HK95" s="34" t="e">
        <f>AND(#REF!,"AAAAAHyP39o=")</f>
        <v>#REF!</v>
      </c>
      <c r="HL95" s="34" t="e">
        <f>AND(#REF!,"AAAAAHyP39s=")</f>
        <v>#REF!</v>
      </c>
      <c r="HM95" s="34" t="e">
        <f>IF(#REF!,"AAAAAHyP39w=",0)</f>
        <v>#REF!</v>
      </c>
      <c r="HN95" s="34" t="e">
        <f>AND(#REF!,"AAAAAHyP390=")</f>
        <v>#REF!</v>
      </c>
      <c r="HO95" s="34" t="e">
        <f>AND(#REF!,"AAAAAHyP394=")</f>
        <v>#REF!</v>
      </c>
      <c r="HP95" s="34" t="e">
        <f>AND(#REF!,"AAAAAHyP398=")</f>
        <v>#REF!</v>
      </c>
      <c r="HQ95" s="34" t="e">
        <f>AND(#REF!,"AAAAAHyP3+A=")</f>
        <v>#REF!</v>
      </c>
      <c r="HR95" s="34" t="e">
        <f>AND(#REF!,"AAAAAHyP3+E=")</f>
        <v>#REF!</v>
      </c>
      <c r="HS95" s="34" t="e">
        <f>AND(#REF!,"AAAAAHyP3+I=")</f>
        <v>#REF!</v>
      </c>
      <c r="HT95" s="34" t="e">
        <f>AND(#REF!,"AAAAAHyP3+M=")</f>
        <v>#REF!</v>
      </c>
      <c r="HU95" s="34" t="e">
        <f>AND(#REF!,"AAAAAHyP3+Q=")</f>
        <v>#REF!</v>
      </c>
      <c r="HV95" s="34" t="e">
        <f>AND(#REF!,"AAAAAHyP3+U=")</f>
        <v>#REF!</v>
      </c>
      <c r="HW95" s="34" t="e">
        <f>AND(#REF!,"AAAAAHyP3+Y=")</f>
        <v>#REF!</v>
      </c>
      <c r="HX95" s="34" t="e">
        <f>AND(#REF!,"AAAAAHyP3+c=")</f>
        <v>#REF!</v>
      </c>
      <c r="HY95" s="34" t="e">
        <f>AND(#REF!,"AAAAAHyP3+g=")</f>
        <v>#REF!</v>
      </c>
      <c r="HZ95" s="34" t="e">
        <f>AND(#REF!,"AAAAAHyP3+k=")</f>
        <v>#REF!</v>
      </c>
      <c r="IA95" s="34" t="e">
        <f>AND(#REF!,"AAAAAHyP3+o=")</f>
        <v>#REF!</v>
      </c>
      <c r="IB95" s="34" t="e">
        <f>AND(#REF!,"AAAAAHyP3+s=")</f>
        <v>#REF!</v>
      </c>
      <c r="IC95" s="34" t="e">
        <f>AND(#REF!,"AAAAAHyP3+w=")</f>
        <v>#REF!</v>
      </c>
      <c r="ID95" s="34" t="e">
        <f>IF(#REF!,"AAAAAHyP3+0=",0)</f>
        <v>#REF!</v>
      </c>
      <c r="IE95" s="34" t="e">
        <f>AND(#REF!,"AAAAAHyP3+4=")</f>
        <v>#REF!</v>
      </c>
      <c r="IF95" s="34" t="e">
        <f>AND(#REF!,"AAAAAHyP3+8=")</f>
        <v>#REF!</v>
      </c>
      <c r="IG95" s="34" t="e">
        <f>AND(#REF!,"AAAAAHyP3/A=")</f>
        <v>#REF!</v>
      </c>
      <c r="IH95" s="34" t="e">
        <f>AND(#REF!,"AAAAAHyP3/E=")</f>
        <v>#REF!</v>
      </c>
      <c r="II95" s="34" t="e">
        <f>AND(#REF!,"AAAAAHyP3/I=")</f>
        <v>#REF!</v>
      </c>
      <c r="IJ95" s="34" t="e">
        <f>AND(#REF!,"AAAAAHyP3/M=")</f>
        <v>#REF!</v>
      </c>
      <c r="IK95" s="34" t="e">
        <f>AND(#REF!,"AAAAAHyP3/Q=")</f>
        <v>#REF!</v>
      </c>
      <c r="IL95" s="34" t="e">
        <f>AND(#REF!,"AAAAAHyP3/U=")</f>
        <v>#REF!</v>
      </c>
      <c r="IM95" s="34" t="e">
        <f>AND(#REF!,"AAAAAHyP3/Y=")</f>
        <v>#REF!</v>
      </c>
      <c r="IN95" s="34" t="e">
        <f>AND(#REF!,"AAAAAHyP3/c=")</f>
        <v>#REF!</v>
      </c>
      <c r="IO95" s="34" t="e">
        <f>AND(#REF!,"AAAAAHyP3/g=")</f>
        <v>#REF!</v>
      </c>
      <c r="IP95" s="34" t="e">
        <f>AND(#REF!,"AAAAAHyP3/k=")</f>
        <v>#REF!</v>
      </c>
      <c r="IQ95" s="34" t="e">
        <f>AND(#REF!,"AAAAAHyP3/o=")</f>
        <v>#REF!</v>
      </c>
      <c r="IR95" s="34" t="e">
        <f>AND(#REF!,"AAAAAHyP3/s=")</f>
        <v>#REF!</v>
      </c>
      <c r="IS95" s="34" t="e">
        <f>AND(#REF!,"AAAAAHyP3/w=")</f>
        <v>#REF!</v>
      </c>
      <c r="IT95" s="34" t="e">
        <f>AND(#REF!,"AAAAAHyP3/0=")</f>
        <v>#REF!</v>
      </c>
      <c r="IU95" s="34" t="e">
        <f>IF(#REF!,"AAAAAHyP3/4=",0)</f>
        <v>#REF!</v>
      </c>
      <c r="IV95" s="34" t="e">
        <f>AND(#REF!,"AAAAAHyP3/8=")</f>
        <v>#REF!</v>
      </c>
    </row>
    <row r="96" spans="1:256" ht="12.75" customHeight="1" x14ac:dyDescent="0.2">
      <c r="A96" s="34" t="e">
        <f>AND(#REF!,"AAAAAHP+/QA=")</f>
        <v>#REF!</v>
      </c>
      <c r="B96" s="34" t="e">
        <f>AND(#REF!,"AAAAAHP+/QE=")</f>
        <v>#REF!</v>
      </c>
      <c r="C96" s="34" t="e">
        <f>AND(#REF!,"AAAAAHP+/QI=")</f>
        <v>#REF!</v>
      </c>
      <c r="D96" s="34" t="e">
        <f>AND(#REF!,"AAAAAHP+/QM=")</f>
        <v>#REF!</v>
      </c>
      <c r="E96" s="34" t="e">
        <f>AND(#REF!,"AAAAAHP+/QQ=")</f>
        <v>#REF!</v>
      </c>
      <c r="F96" s="34" t="e">
        <f>AND(#REF!,"AAAAAHP+/QU=")</f>
        <v>#REF!</v>
      </c>
      <c r="G96" s="34" t="e">
        <f>AND(#REF!,"AAAAAHP+/QY=")</f>
        <v>#REF!</v>
      </c>
      <c r="H96" s="34" t="e">
        <f>AND(#REF!,"AAAAAHP+/Qc=")</f>
        <v>#REF!</v>
      </c>
      <c r="I96" s="34" t="e">
        <f>AND(#REF!,"AAAAAHP+/Qg=")</f>
        <v>#REF!</v>
      </c>
      <c r="J96" s="34" t="e">
        <f>AND(#REF!,"AAAAAHP+/Qk=")</f>
        <v>#REF!</v>
      </c>
      <c r="K96" s="34" t="e">
        <f>AND(#REF!,"AAAAAHP+/Qo=")</f>
        <v>#REF!</v>
      </c>
      <c r="L96" s="34" t="e">
        <f>AND(#REF!,"AAAAAHP+/Qs=")</f>
        <v>#REF!</v>
      </c>
      <c r="M96" s="34" t="e">
        <f>AND(#REF!,"AAAAAHP+/Qw=")</f>
        <v>#REF!</v>
      </c>
      <c r="N96" s="34" t="e">
        <f>AND(#REF!,"AAAAAHP+/Q0=")</f>
        <v>#REF!</v>
      </c>
      <c r="O96" s="34" t="e">
        <f>AND(#REF!,"AAAAAHP+/Q4=")</f>
        <v>#REF!</v>
      </c>
      <c r="P96" s="34" t="e">
        <f>IF(#REF!,"AAAAAHP+/Q8=",0)</f>
        <v>#REF!</v>
      </c>
      <c r="Q96" s="34" t="e">
        <f>AND(#REF!,"AAAAAHP+/RA=")</f>
        <v>#REF!</v>
      </c>
      <c r="R96" s="34" t="e">
        <f>AND(#REF!,"AAAAAHP+/RE=")</f>
        <v>#REF!</v>
      </c>
      <c r="S96" s="34" t="e">
        <f>AND(#REF!,"AAAAAHP+/RI=")</f>
        <v>#REF!</v>
      </c>
      <c r="T96" s="34" t="e">
        <f>AND(#REF!,"AAAAAHP+/RM=")</f>
        <v>#REF!</v>
      </c>
      <c r="U96" s="34" t="e">
        <f>AND(#REF!,"AAAAAHP+/RQ=")</f>
        <v>#REF!</v>
      </c>
      <c r="V96" s="34" t="e">
        <f>AND(#REF!,"AAAAAHP+/RU=")</f>
        <v>#REF!</v>
      </c>
      <c r="W96" s="34" t="e">
        <f>AND(#REF!,"AAAAAHP+/RY=")</f>
        <v>#REF!</v>
      </c>
      <c r="X96" s="34" t="e">
        <f>AND(#REF!,"AAAAAHP+/Rc=")</f>
        <v>#REF!</v>
      </c>
      <c r="Y96" s="34" t="e">
        <f>AND(#REF!,"AAAAAHP+/Rg=")</f>
        <v>#REF!</v>
      </c>
      <c r="Z96" s="34" t="e">
        <f>AND(#REF!,"AAAAAHP+/Rk=")</f>
        <v>#REF!</v>
      </c>
      <c r="AA96" s="34" t="e">
        <f>AND(#REF!,"AAAAAHP+/Ro=")</f>
        <v>#REF!</v>
      </c>
      <c r="AB96" s="34" t="e">
        <f>AND(#REF!,"AAAAAHP+/Rs=")</f>
        <v>#REF!</v>
      </c>
      <c r="AC96" s="34" t="e">
        <f>AND(#REF!,"AAAAAHP+/Rw=")</f>
        <v>#REF!</v>
      </c>
      <c r="AD96" s="34" t="e">
        <f>AND(#REF!,"AAAAAHP+/R0=")</f>
        <v>#REF!</v>
      </c>
      <c r="AE96" s="34" t="e">
        <f>AND(#REF!,"AAAAAHP+/R4=")</f>
        <v>#REF!</v>
      </c>
      <c r="AF96" s="34" t="e">
        <f>AND(#REF!,"AAAAAHP+/R8=")</f>
        <v>#REF!</v>
      </c>
      <c r="AG96" s="34" t="e">
        <f>IF(#REF!,"AAAAAHP+/SA=",0)</f>
        <v>#REF!</v>
      </c>
      <c r="AH96" s="34" t="e">
        <f>AND(#REF!,"AAAAAHP+/SE=")</f>
        <v>#REF!</v>
      </c>
      <c r="AI96" s="34" t="e">
        <f>AND(#REF!,"AAAAAHP+/SI=")</f>
        <v>#REF!</v>
      </c>
      <c r="AJ96" s="34" t="e">
        <f>AND(#REF!,"AAAAAHP+/SM=")</f>
        <v>#REF!</v>
      </c>
      <c r="AK96" s="34" t="e">
        <f>AND(#REF!,"AAAAAHP+/SQ=")</f>
        <v>#REF!</v>
      </c>
      <c r="AL96" s="34" t="e">
        <f>AND(#REF!,"AAAAAHP+/SU=")</f>
        <v>#REF!</v>
      </c>
      <c r="AM96" s="34" t="e">
        <f>AND(#REF!,"AAAAAHP+/SY=")</f>
        <v>#REF!</v>
      </c>
      <c r="AN96" s="34" t="e">
        <f>AND(#REF!,"AAAAAHP+/Sc=")</f>
        <v>#REF!</v>
      </c>
      <c r="AO96" s="34" t="e">
        <f>AND(#REF!,"AAAAAHP+/Sg=")</f>
        <v>#REF!</v>
      </c>
      <c r="AP96" s="34" t="e">
        <f>AND(#REF!,"AAAAAHP+/Sk=")</f>
        <v>#REF!</v>
      </c>
      <c r="AQ96" s="34" t="e">
        <f>AND(#REF!,"AAAAAHP+/So=")</f>
        <v>#REF!</v>
      </c>
      <c r="AR96" s="34" t="e">
        <f>AND(#REF!,"AAAAAHP+/Ss=")</f>
        <v>#REF!</v>
      </c>
      <c r="AS96" s="34" t="e">
        <f>AND(#REF!,"AAAAAHP+/Sw=")</f>
        <v>#REF!</v>
      </c>
      <c r="AT96" s="34" t="e">
        <f>AND(#REF!,"AAAAAHP+/S0=")</f>
        <v>#REF!</v>
      </c>
      <c r="AU96" s="34" t="e">
        <f>AND(#REF!,"AAAAAHP+/S4=")</f>
        <v>#REF!</v>
      </c>
      <c r="AV96" s="34" t="e">
        <f>AND(#REF!,"AAAAAHP+/S8=")</f>
        <v>#REF!</v>
      </c>
      <c r="AW96" s="34" t="e">
        <f>AND(#REF!,"AAAAAHP+/TA=")</f>
        <v>#REF!</v>
      </c>
      <c r="AX96" s="34" t="e">
        <f>IF(#REF!,"AAAAAHP+/TE=",0)</f>
        <v>#REF!</v>
      </c>
      <c r="AY96" s="34" t="e">
        <f>AND(#REF!,"AAAAAHP+/TI=")</f>
        <v>#REF!</v>
      </c>
      <c r="AZ96" s="34" t="e">
        <f>AND(#REF!,"AAAAAHP+/TM=")</f>
        <v>#REF!</v>
      </c>
      <c r="BA96" s="34" t="e">
        <f>AND(#REF!,"AAAAAHP+/TQ=")</f>
        <v>#REF!</v>
      </c>
      <c r="BB96" s="34" t="e">
        <f>AND(#REF!,"AAAAAHP+/TU=")</f>
        <v>#REF!</v>
      </c>
      <c r="BC96" s="34" t="e">
        <f>AND(#REF!,"AAAAAHP+/TY=")</f>
        <v>#REF!</v>
      </c>
      <c r="BD96" s="34" t="e">
        <f>AND(#REF!,"AAAAAHP+/Tc=")</f>
        <v>#REF!</v>
      </c>
      <c r="BE96" s="34" t="e">
        <f>AND(#REF!,"AAAAAHP+/Tg=")</f>
        <v>#REF!</v>
      </c>
      <c r="BF96" s="34" t="e">
        <f>AND(#REF!,"AAAAAHP+/Tk=")</f>
        <v>#REF!</v>
      </c>
      <c r="BG96" s="34" t="e">
        <f>AND(#REF!,"AAAAAHP+/To=")</f>
        <v>#REF!</v>
      </c>
      <c r="BH96" s="34" t="e">
        <f>AND(#REF!,"AAAAAHP+/Ts=")</f>
        <v>#REF!</v>
      </c>
      <c r="BI96" s="34" t="e">
        <f>AND(#REF!,"AAAAAHP+/Tw=")</f>
        <v>#REF!</v>
      </c>
      <c r="BJ96" s="34" t="e">
        <f>AND(#REF!,"AAAAAHP+/T0=")</f>
        <v>#REF!</v>
      </c>
      <c r="BK96" s="34" t="e">
        <f>AND(#REF!,"AAAAAHP+/T4=")</f>
        <v>#REF!</v>
      </c>
      <c r="BL96" s="34" t="e">
        <f>AND(#REF!,"AAAAAHP+/T8=")</f>
        <v>#REF!</v>
      </c>
      <c r="BM96" s="34" t="e">
        <f>AND(#REF!,"AAAAAHP+/UA=")</f>
        <v>#REF!</v>
      </c>
      <c r="BN96" s="34" t="e">
        <f>AND(#REF!,"AAAAAHP+/UE=")</f>
        <v>#REF!</v>
      </c>
      <c r="BO96" s="34" t="e">
        <f>IF(#REF!,"AAAAAHP+/UI=",0)</f>
        <v>#REF!</v>
      </c>
      <c r="BP96" s="34" t="e">
        <f>AND(#REF!,"AAAAAHP+/UM=")</f>
        <v>#REF!</v>
      </c>
      <c r="BQ96" s="34" t="e">
        <f>AND(#REF!,"AAAAAHP+/UQ=")</f>
        <v>#REF!</v>
      </c>
      <c r="BR96" s="34" t="e">
        <f>AND(#REF!,"AAAAAHP+/UU=")</f>
        <v>#REF!</v>
      </c>
      <c r="BS96" s="34" t="e">
        <f>AND(#REF!,"AAAAAHP+/UY=")</f>
        <v>#REF!</v>
      </c>
      <c r="BT96" s="34" t="e">
        <f>AND(#REF!,"AAAAAHP+/Uc=")</f>
        <v>#REF!</v>
      </c>
      <c r="BU96" s="34" t="e">
        <f>AND(#REF!,"AAAAAHP+/Ug=")</f>
        <v>#REF!</v>
      </c>
      <c r="BV96" s="34" t="e">
        <f>AND(#REF!,"AAAAAHP+/Uk=")</f>
        <v>#REF!</v>
      </c>
      <c r="BW96" s="34" t="e">
        <f>AND(#REF!,"AAAAAHP+/Uo=")</f>
        <v>#REF!</v>
      </c>
      <c r="BX96" s="34" t="e">
        <f>AND(#REF!,"AAAAAHP+/Us=")</f>
        <v>#REF!</v>
      </c>
      <c r="BY96" s="34" t="e">
        <f>AND(#REF!,"AAAAAHP+/Uw=")</f>
        <v>#REF!</v>
      </c>
      <c r="BZ96" s="34" t="e">
        <f>AND(#REF!,"AAAAAHP+/U0=")</f>
        <v>#REF!</v>
      </c>
      <c r="CA96" s="34" t="e">
        <f>AND(#REF!,"AAAAAHP+/U4=")</f>
        <v>#REF!</v>
      </c>
      <c r="CB96" s="34" t="e">
        <f>AND(#REF!,"AAAAAHP+/U8=")</f>
        <v>#REF!</v>
      </c>
      <c r="CC96" s="34" t="e">
        <f>AND(#REF!,"AAAAAHP+/VA=")</f>
        <v>#REF!</v>
      </c>
      <c r="CD96" s="34" t="e">
        <f>AND(#REF!,"AAAAAHP+/VE=")</f>
        <v>#REF!</v>
      </c>
      <c r="CE96" s="34" t="e">
        <f>AND(#REF!,"AAAAAHP+/VI=")</f>
        <v>#REF!</v>
      </c>
      <c r="CF96" s="34" t="e">
        <f>IF(#REF!,"AAAAAHP+/VM=",0)</f>
        <v>#REF!</v>
      </c>
      <c r="CG96" s="34" t="e">
        <f>AND(#REF!,"AAAAAHP+/VQ=")</f>
        <v>#REF!</v>
      </c>
      <c r="CH96" s="34" t="e">
        <f>AND(#REF!,"AAAAAHP+/VU=")</f>
        <v>#REF!</v>
      </c>
      <c r="CI96" s="34" t="e">
        <f>AND(#REF!,"AAAAAHP+/VY=")</f>
        <v>#REF!</v>
      </c>
      <c r="CJ96" s="34" t="e">
        <f>AND(#REF!,"AAAAAHP+/Vc=")</f>
        <v>#REF!</v>
      </c>
      <c r="CK96" s="34" t="e">
        <f>AND(#REF!,"AAAAAHP+/Vg=")</f>
        <v>#REF!</v>
      </c>
      <c r="CL96" s="34" t="e">
        <f>AND(#REF!,"AAAAAHP+/Vk=")</f>
        <v>#REF!</v>
      </c>
      <c r="CM96" s="34" t="e">
        <f>AND(#REF!,"AAAAAHP+/Vo=")</f>
        <v>#REF!</v>
      </c>
      <c r="CN96" s="34" t="e">
        <f>AND(#REF!,"AAAAAHP+/Vs=")</f>
        <v>#REF!</v>
      </c>
      <c r="CO96" s="34" t="e">
        <f>AND(#REF!,"AAAAAHP+/Vw=")</f>
        <v>#REF!</v>
      </c>
      <c r="CP96" s="34" t="e">
        <f>AND(#REF!,"AAAAAHP+/V0=")</f>
        <v>#REF!</v>
      </c>
      <c r="CQ96" s="34" t="e">
        <f>AND(#REF!,"AAAAAHP+/V4=")</f>
        <v>#REF!</v>
      </c>
      <c r="CR96" s="34" t="e">
        <f>AND(#REF!,"AAAAAHP+/V8=")</f>
        <v>#REF!</v>
      </c>
      <c r="CS96" s="34" t="e">
        <f>AND(#REF!,"AAAAAHP+/WA=")</f>
        <v>#REF!</v>
      </c>
      <c r="CT96" s="34" t="e">
        <f>AND(#REF!,"AAAAAHP+/WE=")</f>
        <v>#REF!</v>
      </c>
      <c r="CU96" s="34" t="e">
        <f>AND(#REF!,"AAAAAHP+/WI=")</f>
        <v>#REF!</v>
      </c>
      <c r="CV96" s="34" t="e">
        <f>AND(#REF!,"AAAAAHP+/WM=")</f>
        <v>#REF!</v>
      </c>
      <c r="CW96" s="34" t="e">
        <f>IF(#REF!,"AAAAAHP+/WQ=",0)</f>
        <v>#REF!</v>
      </c>
      <c r="CX96" s="34" t="e">
        <f>AND(#REF!,"AAAAAHP+/WU=")</f>
        <v>#REF!</v>
      </c>
      <c r="CY96" s="34" t="e">
        <f>AND(#REF!,"AAAAAHP+/WY=")</f>
        <v>#REF!</v>
      </c>
      <c r="CZ96" s="34" t="e">
        <f>AND(#REF!,"AAAAAHP+/Wc=")</f>
        <v>#REF!</v>
      </c>
      <c r="DA96" s="34" t="e">
        <f>AND(#REF!,"AAAAAHP+/Wg=")</f>
        <v>#REF!</v>
      </c>
      <c r="DB96" s="34" t="e">
        <f>AND(#REF!,"AAAAAHP+/Wk=")</f>
        <v>#REF!</v>
      </c>
      <c r="DC96" s="34" t="e">
        <f>AND(#REF!,"AAAAAHP+/Wo=")</f>
        <v>#REF!</v>
      </c>
      <c r="DD96" s="34" t="e">
        <f>AND(#REF!,"AAAAAHP+/Ws=")</f>
        <v>#REF!</v>
      </c>
      <c r="DE96" s="34" t="e">
        <f>AND(#REF!,"AAAAAHP+/Ww=")</f>
        <v>#REF!</v>
      </c>
      <c r="DF96" s="34" t="e">
        <f>AND(#REF!,"AAAAAHP+/W0=")</f>
        <v>#REF!</v>
      </c>
      <c r="DG96" s="34" t="e">
        <f>AND(#REF!,"AAAAAHP+/W4=")</f>
        <v>#REF!</v>
      </c>
      <c r="DH96" s="34" t="e">
        <f>AND(#REF!,"AAAAAHP+/W8=")</f>
        <v>#REF!</v>
      </c>
      <c r="DI96" s="34" t="e">
        <f>AND(#REF!,"AAAAAHP+/XA=")</f>
        <v>#REF!</v>
      </c>
      <c r="DJ96" s="34" t="e">
        <f>AND(#REF!,"AAAAAHP+/XE=")</f>
        <v>#REF!</v>
      </c>
      <c r="DK96" s="34" t="e">
        <f>AND(#REF!,"AAAAAHP+/XI=")</f>
        <v>#REF!</v>
      </c>
      <c r="DL96" s="34" t="e">
        <f>AND(#REF!,"AAAAAHP+/XM=")</f>
        <v>#REF!</v>
      </c>
      <c r="DM96" s="34" t="e">
        <f>AND(#REF!,"AAAAAHP+/XQ=")</f>
        <v>#REF!</v>
      </c>
      <c r="DN96" s="34" t="e">
        <f>IF(#REF!,"AAAAAHP+/XU=",0)</f>
        <v>#REF!</v>
      </c>
      <c r="DO96" s="34" t="e">
        <f>AND(#REF!,"AAAAAHP+/XY=")</f>
        <v>#REF!</v>
      </c>
      <c r="DP96" s="34" t="e">
        <f>AND(#REF!,"AAAAAHP+/Xc=")</f>
        <v>#REF!</v>
      </c>
      <c r="DQ96" s="34" t="e">
        <f>AND(#REF!,"AAAAAHP+/Xg=")</f>
        <v>#REF!</v>
      </c>
      <c r="DR96" s="34" t="e">
        <f>AND(#REF!,"AAAAAHP+/Xk=")</f>
        <v>#REF!</v>
      </c>
      <c r="DS96" s="34" t="e">
        <f>AND(#REF!,"AAAAAHP+/Xo=")</f>
        <v>#REF!</v>
      </c>
      <c r="DT96" s="34" t="e">
        <f>AND(#REF!,"AAAAAHP+/Xs=")</f>
        <v>#REF!</v>
      </c>
      <c r="DU96" s="34" t="e">
        <f>AND(#REF!,"AAAAAHP+/Xw=")</f>
        <v>#REF!</v>
      </c>
      <c r="DV96" s="34" t="e">
        <f>AND(#REF!,"AAAAAHP+/X0=")</f>
        <v>#REF!</v>
      </c>
      <c r="DW96" s="34" t="e">
        <f>AND(#REF!,"AAAAAHP+/X4=")</f>
        <v>#REF!</v>
      </c>
      <c r="DX96" s="34" t="e">
        <f>AND(#REF!,"AAAAAHP+/X8=")</f>
        <v>#REF!</v>
      </c>
      <c r="DY96" s="34" t="e">
        <f>AND(#REF!,"AAAAAHP+/YA=")</f>
        <v>#REF!</v>
      </c>
      <c r="DZ96" s="34" t="e">
        <f>AND(#REF!,"AAAAAHP+/YE=")</f>
        <v>#REF!</v>
      </c>
      <c r="EA96" s="34" t="e">
        <f>AND(#REF!,"AAAAAHP+/YI=")</f>
        <v>#REF!</v>
      </c>
      <c r="EB96" s="34" t="e">
        <f>AND(#REF!,"AAAAAHP+/YM=")</f>
        <v>#REF!</v>
      </c>
      <c r="EC96" s="34" t="e">
        <f>AND(#REF!,"AAAAAHP+/YQ=")</f>
        <v>#REF!</v>
      </c>
      <c r="ED96" s="34" t="e">
        <f>AND(#REF!,"AAAAAHP+/YU=")</f>
        <v>#REF!</v>
      </c>
      <c r="EE96" s="34" t="e">
        <f>IF(#REF!,"AAAAAHP+/YY=",0)</f>
        <v>#REF!</v>
      </c>
      <c r="EF96" s="34" t="e">
        <f>AND(#REF!,"AAAAAHP+/Yc=")</f>
        <v>#REF!</v>
      </c>
      <c r="EG96" s="34" t="e">
        <f>AND(#REF!,"AAAAAHP+/Yg=")</f>
        <v>#REF!</v>
      </c>
      <c r="EH96" s="34" t="e">
        <f>AND(#REF!,"AAAAAHP+/Yk=")</f>
        <v>#REF!</v>
      </c>
      <c r="EI96" s="34" t="e">
        <f>AND(#REF!,"AAAAAHP+/Yo=")</f>
        <v>#REF!</v>
      </c>
      <c r="EJ96" s="34" t="e">
        <f>AND(#REF!,"AAAAAHP+/Ys=")</f>
        <v>#REF!</v>
      </c>
      <c r="EK96" s="34" t="e">
        <f>AND(#REF!,"AAAAAHP+/Yw=")</f>
        <v>#REF!</v>
      </c>
      <c r="EL96" s="34" t="e">
        <f>AND(#REF!,"AAAAAHP+/Y0=")</f>
        <v>#REF!</v>
      </c>
      <c r="EM96" s="34" t="e">
        <f>AND(#REF!,"AAAAAHP+/Y4=")</f>
        <v>#REF!</v>
      </c>
      <c r="EN96" s="34" t="e">
        <f>AND(#REF!,"AAAAAHP+/Y8=")</f>
        <v>#REF!</v>
      </c>
      <c r="EO96" s="34" t="e">
        <f>AND(#REF!,"AAAAAHP+/ZA=")</f>
        <v>#REF!</v>
      </c>
      <c r="EP96" s="34" t="e">
        <f>AND(#REF!,"AAAAAHP+/ZE=")</f>
        <v>#REF!</v>
      </c>
      <c r="EQ96" s="34" t="e">
        <f>AND(#REF!,"AAAAAHP+/ZI=")</f>
        <v>#REF!</v>
      </c>
      <c r="ER96" s="34" t="e">
        <f>AND(#REF!,"AAAAAHP+/ZM=")</f>
        <v>#REF!</v>
      </c>
      <c r="ES96" s="34" t="e">
        <f>AND(#REF!,"AAAAAHP+/ZQ=")</f>
        <v>#REF!</v>
      </c>
      <c r="ET96" s="34" t="e">
        <f>AND(#REF!,"AAAAAHP+/ZU=")</f>
        <v>#REF!</v>
      </c>
      <c r="EU96" s="34" t="e">
        <f>AND(#REF!,"AAAAAHP+/ZY=")</f>
        <v>#REF!</v>
      </c>
      <c r="EV96" s="34" t="e">
        <f>IF(#REF!,"AAAAAHP+/Zc=",0)</f>
        <v>#REF!</v>
      </c>
      <c r="EW96" s="34" t="e">
        <f>AND(#REF!,"AAAAAHP+/Zg=")</f>
        <v>#REF!</v>
      </c>
      <c r="EX96" s="34" t="e">
        <f>AND(#REF!,"AAAAAHP+/Zk=")</f>
        <v>#REF!</v>
      </c>
      <c r="EY96" s="34" t="e">
        <f>AND(#REF!,"AAAAAHP+/Zo=")</f>
        <v>#REF!</v>
      </c>
      <c r="EZ96" s="34" t="e">
        <f>AND(#REF!,"AAAAAHP+/Zs=")</f>
        <v>#REF!</v>
      </c>
      <c r="FA96" s="34" t="e">
        <f>AND(#REF!,"AAAAAHP+/Zw=")</f>
        <v>#REF!</v>
      </c>
      <c r="FB96" s="34" t="e">
        <f>AND(#REF!,"AAAAAHP+/Z0=")</f>
        <v>#REF!</v>
      </c>
      <c r="FC96" s="34" t="e">
        <f>AND(#REF!,"AAAAAHP+/Z4=")</f>
        <v>#REF!</v>
      </c>
      <c r="FD96" s="34" t="e">
        <f>AND(#REF!,"AAAAAHP+/Z8=")</f>
        <v>#REF!</v>
      </c>
      <c r="FE96" s="34" t="e">
        <f>AND(#REF!,"AAAAAHP+/aA=")</f>
        <v>#REF!</v>
      </c>
      <c r="FF96" s="34" t="e">
        <f>AND(#REF!,"AAAAAHP+/aE=")</f>
        <v>#REF!</v>
      </c>
      <c r="FG96" s="34" t="e">
        <f>AND(#REF!,"AAAAAHP+/aI=")</f>
        <v>#REF!</v>
      </c>
      <c r="FH96" s="34" t="e">
        <f>AND(#REF!,"AAAAAHP+/aM=")</f>
        <v>#REF!</v>
      </c>
      <c r="FI96" s="34" t="e">
        <f>AND(#REF!,"AAAAAHP+/aQ=")</f>
        <v>#REF!</v>
      </c>
      <c r="FJ96" s="34" t="e">
        <f>AND(#REF!,"AAAAAHP+/aU=")</f>
        <v>#REF!</v>
      </c>
      <c r="FK96" s="34" t="e">
        <f>AND(#REF!,"AAAAAHP+/aY=")</f>
        <v>#REF!</v>
      </c>
      <c r="FL96" s="34" t="e">
        <f>AND(#REF!,"AAAAAHP+/ac=")</f>
        <v>#REF!</v>
      </c>
      <c r="FM96" s="34" t="e">
        <f>IF(#REF!,"AAAAAHP+/ag=",0)</f>
        <v>#REF!</v>
      </c>
      <c r="FN96" s="34" t="e">
        <f>AND(#REF!,"AAAAAHP+/ak=")</f>
        <v>#REF!</v>
      </c>
      <c r="FO96" s="34" t="e">
        <f>AND(#REF!,"AAAAAHP+/ao=")</f>
        <v>#REF!</v>
      </c>
      <c r="FP96" s="34" t="e">
        <f>AND(#REF!,"AAAAAHP+/as=")</f>
        <v>#REF!</v>
      </c>
      <c r="FQ96" s="34" t="e">
        <f>AND(#REF!,"AAAAAHP+/aw=")</f>
        <v>#REF!</v>
      </c>
      <c r="FR96" s="34" t="e">
        <f>AND(#REF!,"AAAAAHP+/a0=")</f>
        <v>#REF!</v>
      </c>
      <c r="FS96" s="34" t="e">
        <f>AND(#REF!,"AAAAAHP+/a4=")</f>
        <v>#REF!</v>
      </c>
      <c r="FT96" s="34" t="e">
        <f>AND(#REF!,"AAAAAHP+/a8=")</f>
        <v>#REF!</v>
      </c>
      <c r="FU96" s="34" t="e">
        <f>AND(#REF!,"AAAAAHP+/bA=")</f>
        <v>#REF!</v>
      </c>
      <c r="FV96" s="34" t="e">
        <f>AND(#REF!,"AAAAAHP+/bE=")</f>
        <v>#REF!</v>
      </c>
      <c r="FW96" s="34" t="e">
        <f>AND(#REF!,"AAAAAHP+/bI=")</f>
        <v>#REF!</v>
      </c>
      <c r="FX96" s="34" t="e">
        <f>AND(#REF!,"AAAAAHP+/bM=")</f>
        <v>#REF!</v>
      </c>
      <c r="FY96" s="34" t="e">
        <f>AND(#REF!,"AAAAAHP+/bQ=")</f>
        <v>#REF!</v>
      </c>
      <c r="FZ96" s="34" t="e">
        <f>AND(#REF!,"AAAAAHP+/bU=")</f>
        <v>#REF!</v>
      </c>
      <c r="GA96" s="34" t="e">
        <f>AND(#REF!,"AAAAAHP+/bY=")</f>
        <v>#REF!</v>
      </c>
      <c r="GB96" s="34" t="e">
        <f>AND(#REF!,"AAAAAHP+/bc=")</f>
        <v>#REF!</v>
      </c>
      <c r="GC96" s="34" t="e">
        <f>AND(#REF!,"AAAAAHP+/bg=")</f>
        <v>#REF!</v>
      </c>
      <c r="GD96" s="34" t="e">
        <f>IF(#REF!,"AAAAAHP+/bk=",0)</f>
        <v>#REF!</v>
      </c>
      <c r="GE96" s="34" t="e">
        <f>AND(#REF!,"AAAAAHP+/bo=")</f>
        <v>#REF!</v>
      </c>
      <c r="GF96" s="34" t="e">
        <f>AND(#REF!,"AAAAAHP+/bs=")</f>
        <v>#REF!</v>
      </c>
      <c r="GG96" s="34" t="e">
        <f>AND(#REF!,"AAAAAHP+/bw=")</f>
        <v>#REF!</v>
      </c>
      <c r="GH96" s="34" t="e">
        <f>AND(#REF!,"AAAAAHP+/b0=")</f>
        <v>#REF!</v>
      </c>
      <c r="GI96" s="34" t="e">
        <f>AND(#REF!,"AAAAAHP+/b4=")</f>
        <v>#REF!</v>
      </c>
      <c r="GJ96" s="34" t="e">
        <f>AND(#REF!,"AAAAAHP+/b8=")</f>
        <v>#REF!</v>
      </c>
      <c r="GK96" s="34" t="e">
        <f>AND(#REF!,"AAAAAHP+/cA=")</f>
        <v>#REF!</v>
      </c>
      <c r="GL96" s="34" t="e">
        <f>AND(#REF!,"AAAAAHP+/cE=")</f>
        <v>#REF!</v>
      </c>
      <c r="GM96" s="34" t="e">
        <f>AND(#REF!,"AAAAAHP+/cI=")</f>
        <v>#REF!</v>
      </c>
      <c r="GN96" s="34" t="e">
        <f>AND(#REF!,"AAAAAHP+/cM=")</f>
        <v>#REF!</v>
      </c>
      <c r="GO96" s="34" t="e">
        <f>AND(#REF!,"AAAAAHP+/cQ=")</f>
        <v>#REF!</v>
      </c>
      <c r="GP96" s="34" t="e">
        <f>AND(#REF!,"AAAAAHP+/cU=")</f>
        <v>#REF!</v>
      </c>
      <c r="GQ96" s="34" t="e">
        <f>AND(#REF!,"AAAAAHP+/cY=")</f>
        <v>#REF!</v>
      </c>
      <c r="GR96" s="34" t="e">
        <f>AND(#REF!,"AAAAAHP+/cc=")</f>
        <v>#REF!</v>
      </c>
      <c r="GS96" s="34" t="e">
        <f>AND(#REF!,"AAAAAHP+/cg=")</f>
        <v>#REF!</v>
      </c>
      <c r="GT96" s="34" t="e">
        <f>AND(#REF!,"AAAAAHP+/ck=")</f>
        <v>#REF!</v>
      </c>
      <c r="GU96" s="34" t="e">
        <f>IF(#REF!,"AAAAAHP+/co=",0)</f>
        <v>#REF!</v>
      </c>
      <c r="GV96" s="34" t="e">
        <f>AND(#REF!,"AAAAAHP+/cs=")</f>
        <v>#REF!</v>
      </c>
      <c r="GW96" s="34" t="e">
        <f>AND(#REF!,"AAAAAHP+/cw=")</f>
        <v>#REF!</v>
      </c>
      <c r="GX96" s="34" t="e">
        <f>AND(#REF!,"AAAAAHP+/c0=")</f>
        <v>#REF!</v>
      </c>
      <c r="GY96" s="34" t="e">
        <f>AND(#REF!,"AAAAAHP+/c4=")</f>
        <v>#REF!</v>
      </c>
      <c r="GZ96" s="34" t="e">
        <f>AND(#REF!,"AAAAAHP+/c8=")</f>
        <v>#REF!</v>
      </c>
      <c r="HA96" s="34" t="e">
        <f>AND(#REF!,"AAAAAHP+/dA=")</f>
        <v>#REF!</v>
      </c>
      <c r="HB96" s="34" t="e">
        <f>AND(#REF!,"AAAAAHP+/dE=")</f>
        <v>#REF!</v>
      </c>
      <c r="HC96" s="34" t="e">
        <f>AND(#REF!,"AAAAAHP+/dI=")</f>
        <v>#REF!</v>
      </c>
      <c r="HD96" s="34" t="e">
        <f>AND(#REF!,"AAAAAHP+/dM=")</f>
        <v>#REF!</v>
      </c>
      <c r="HE96" s="34" t="e">
        <f>AND(#REF!,"AAAAAHP+/dQ=")</f>
        <v>#REF!</v>
      </c>
      <c r="HF96" s="34" t="e">
        <f>AND(#REF!,"AAAAAHP+/dU=")</f>
        <v>#REF!</v>
      </c>
      <c r="HG96" s="34" t="e">
        <f>AND(#REF!,"AAAAAHP+/dY=")</f>
        <v>#REF!</v>
      </c>
      <c r="HH96" s="34" t="e">
        <f>AND(#REF!,"AAAAAHP+/dc=")</f>
        <v>#REF!</v>
      </c>
      <c r="HI96" s="34" t="e">
        <f>AND(#REF!,"AAAAAHP+/dg=")</f>
        <v>#REF!</v>
      </c>
      <c r="HJ96" s="34" t="e">
        <f>AND(#REF!,"AAAAAHP+/dk=")</f>
        <v>#REF!</v>
      </c>
      <c r="HK96" s="34" t="e">
        <f>AND(#REF!,"AAAAAHP+/do=")</f>
        <v>#REF!</v>
      </c>
      <c r="HL96" s="34" t="e">
        <f>IF(#REF!,"AAAAAHP+/ds=",0)</f>
        <v>#REF!</v>
      </c>
      <c r="HM96" s="34" t="e">
        <f>AND(#REF!,"AAAAAHP+/dw=")</f>
        <v>#REF!</v>
      </c>
      <c r="HN96" s="34" t="e">
        <f>AND(#REF!,"AAAAAHP+/d0=")</f>
        <v>#REF!</v>
      </c>
      <c r="HO96" s="34" t="e">
        <f>AND(#REF!,"AAAAAHP+/d4=")</f>
        <v>#REF!</v>
      </c>
      <c r="HP96" s="34" t="e">
        <f>AND(#REF!,"AAAAAHP+/d8=")</f>
        <v>#REF!</v>
      </c>
      <c r="HQ96" s="34" t="e">
        <f>AND(#REF!,"AAAAAHP+/eA=")</f>
        <v>#REF!</v>
      </c>
      <c r="HR96" s="34" t="e">
        <f>AND(#REF!,"AAAAAHP+/eE=")</f>
        <v>#REF!</v>
      </c>
      <c r="HS96" s="34" t="e">
        <f>AND(#REF!,"AAAAAHP+/eI=")</f>
        <v>#REF!</v>
      </c>
      <c r="HT96" s="34" t="e">
        <f>AND(#REF!,"AAAAAHP+/eM=")</f>
        <v>#REF!</v>
      </c>
      <c r="HU96" s="34" t="e">
        <f>AND(#REF!,"AAAAAHP+/eQ=")</f>
        <v>#REF!</v>
      </c>
      <c r="HV96" s="34" t="e">
        <f>AND(#REF!,"AAAAAHP+/eU=")</f>
        <v>#REF!</v>
      </c>
      <c r="HW96" s="34" t="e">
        <f>AND(#REF!,"AAAAAHP+/eY=")</f>
        <v>#REF!</v>
      </c>
      <c r="HX96" s="34" t="e">
        <f>AND(#REF!,"AAAAAHP+/ec=")</f>
        <v>#REF!</v>
      </c>
      <c r="HY96" s="34" t="e">
        <f>AND(#REF!,"AAAAAHP+/eg=")</f>
        <v>#REF!</v>
      </c>
      <c r="HZ96" s="34" t="e">
        <f>AND(#REF!,"AAAAAHP+/ek=")</f>
        <v>#REF!</v>
      </c>
      <c r="IA96" s="34" t="e">
        <f>AND(#REF!,"AAAAAHP+/eo=")</f>
        <v>#REF!</v>
      </c>
      <c r="IB96" s="34" t="e">
        <f>AND(#REF!,"AAAAAHP+/es=")</f>
        <v>#REF!</v>
      </c>
      <c r="IC96" s="34" t="e">
        <f>IF(#REF!,"AAAAAHP+/ew=",0)</f>
        <v>#REF!</v>
      </c>
      <c r="ID96" s="34" t="e">
        <f>AND(#REF!,"AAAAAHP+/e0=")</f>
        <v>#REF!</v>
      </c>
      <c r="IE96" s="34" t="e">
        <f>AND(#REF!,"AAAAAHP+/e4=")</f>
        <v>#REF!</v>
      </c>
      <c r="IF96" s="34" t="e">
        <f>AND(#REF!,"AAAAAHP+/e8=")</f>
        <v>#REF!</v>
      </c>
      <c r="IG96" s="34" t="e">
        <f>AND(#REF!,"AAAAAHP+/fA=")</f>
        <v>#REF!</v>
      </c>
      <c r="IH96" s="34" t="e">
        <f>AND(#REF!,"AAAAAHP+/fE=")</f>
        <v>#REF!</v>
      </c>
      <c r="II96" s="34" t="e">
        <f>AND(#REF!,"AAAAAHP+/fI=")</f>
        <v>#REF!</v>
      </c>
      <c r="IJ96" s="34" t="e">
        <f>AND(#REF!,"AAAAAHP+/fM=")</f>
        <v>#REF!</v>
      </c>
      <c r="IK96" s="34" t="e">
        <f>AND(#REF!,"AAAAAHP+/fQ=")</f>
        <v>#REF!</v>
      </c>
      <c r="IL96" s="34" t="e">
        <f>AND(#REF!,"AAAAAHP+/fU=")</f>
        <v>#REF!</v>
      </c>
      <c r="IM96" s="34" t="e">
        <f>AND(#REF!,"AAAAAHP+/fY=")</f>
        <v>#REF!</v>
      </c>
      <c r="IN96" s="34" t="e">
        <f>AND(#REF!,"AAAAAHP+/fc=")</f>
        <v>#REF!</v>
      </c>
      <c r="IO96" s="34" t="e">
        <f>AND(#REF!,"AAAAAHP+/fg=")</f>
        <v>#REF!</v>
      </c>
      <c r="IP96" s="34" t="e">
        <f>AND(#REF!,"AAAAAHP+/fk=")</f>
        <v>#REF!</v>
      </c>
      <c r="IQ96" s="34" t="e">
        <f>AND(#REF!,"AAAAAHP+/fo=")</f>
        <v>#REF!</v>
      </c>
      <c r="IR96" s="34" t="e">
        <f>AND(#REF!,"AAAAAHP+/fs=")</f>
        <v>#REF!</v>
      </c>
      <c r="IS96" s="34" t="e">
        <f>AND(#REF!,"AAAAAHP+/fw=")</f>
        <v>#REF!</v>
      </c>
      <c r="IT96" s="34" t="e">
        <f>IF(#REF!,"AAAAAHP+/f0=",0)</f>
        <v>#REF!</v>
      </c>
      <c r="IU96" s="34" t="e">
        <f>AND(#REF!,"AAAAAHP+/f4=")</f>
        <v>#REF!</v>
      </c>
      <c r="IV96" s="34" t="e">
        <f>AND(#REF!,"AAAAAHP+/f8=")</f>
        <v>#REF!</v>
      </c>
    </row>
    <row r="97" spans="1:256" ht="12.75" customHeight="1" x14ac:dyDescent="0.2">
      <c r="A97" s="34" t="e">
        <f>AND(#REF!,"AAAAADbfeQA=")</f>
        <v>#REF!</v>
      </c>
      <c r="B97" s="34" t="e">
        <f>AND(#REF!,"AAAAADbfeQE=")</f>
        <v>#REF!</v>
      </c>
      <c r="C97" s="34" t="e">
        <f>AND(#REF!,"AAAAADbfeQI=")</f>
        <v>#REF!</v>
      </c>
      <c r="D97" s="34" t="e">
        <f>AND(#REF!,"AAAAADbfeQM=")</f>
        <v>#REF!</v>
      </c>
      <c r="E97" s="34" t="e">
        <f>AND(#REF!,"AAAAADbfeQQ=")</f>
        <v>#REF!</v>
      </c>
      <c r="F97" s="34" t="e">
        <f>AND(#REF!,"AAAAADbfeQU=")</f>
        <v>#REF!</v>
      </c>
      <c r="G97" s="34" t="e">
        <f>AND(#REF!,"AAAAADbfeQY=")</f>
        <v>#REF!</v>
      </c>
      <c r="H97" s="34" t="e">
        <f>AND(#REF!,"AAAAADbfeQc=")</f>
        <v>#REF!</v>
      </c>
      <c r="I97" s="34" t="e">
        <f>AND(#REF!,"AAAAADbfeQg=")</f>
        <v>#REF!</v>
      </c>
      <c r="J97" s="34" t="e">
        <f>AND(#REF!,"AAAAADbfeQk=")</f>
        <v>#REF!</v>
      </c>
      <c r="K97" s="34" t="e">
        <f>AND(#REF!,"AAAAADbfeQo=")</f>
        <v>#REF!</v>
      </c>
      <c r="L97" s="34" t="e">
        <f>AND(#REF!,"AAAAADbfeQs=")</f>
        <v>#REF!</v>
      </c>
      <c r="M97" s="34" t="e">
        <f>AND(#REF!,"AAAAADbfeQw=")</f>
        <v>#REF!</v>
      </c>
      <c r="N97" s="34" t="e">
        <f>AND(#REF!,"AAAAADbfeQ0=")</f>
        <v>#REF!</v>
      </c>
      <c r="O97" s="34" t="e">
        <f>IF(#REF!,"AAAAADbfeQ4=",0)</f>
        <v>#REF!</v>
      </c>
      <c r="P97" s="34" t="e">
        <f>AND(#REF!,"AAAAADbfeQ8=")</f>
        <v>#REF!</v>
      </c>
      <c r="Q97" s="34" t="e">
        <f>AND(#REF!,"AAAAADbfeRA=")</f>
        <v>#REF!</v>
      </c>
      <c r="R97" s="34" t="e">
        <f>AND(#REF!,"AAAAADbfeRE=")</f>
        <v>#REF!</v>
      </c>
      <c r="S97" s="34" t="e">
        <f>AND(#REF!,"AAAAADbfeRI=")</f>
        <v>#REF!</v>
      </c>
      <c r="T97" s="34" t="e">
        <f>AND(#REF!,"AAAAADbfeRM=")</f>
        <v>#REF!</v>
      </c>
      <c r="U97" s="34" t="e">
        <f>AND(#REF!,"AAAAADbfeRQ=")</f>
        <v>#REF!</v>
      </c>
      <c r="V97" s="34" t="e">
        <f>AND(#REF!,"AAAAADbfeRU=")</f>
        <v>#REF!</v>
      </c>
      <c r="W97" s="34" t="e">
        <f>AND(#REF!,"AAAAADbfeRY=")</f>
        <v>#REF!</v>
      </c>
      <c r="X97" s="34" t="e">
        <f>AND(#REF!,"AAAAADbfeRc=")</f>
        <v>#REF!</v>
      </c>
      <c r="Y97" s="34" t="e">
        <f>AND(#REF!,"AAAAADbfeRg=")</f>
        <v>#REF!</v>
      </c>
      <c r="Z97" s="34" t="e">
        <f>AND(#REF!,"AAAAADbfeRk=")</f>
        <v>#REF!</v>
      </c>
      <c r="AA97" s="34" t="e">
        <f>AND(#REF!,"AAAAADbfeRo=")</f>
        <v>#REF!</v>
      </c>
      <c r="AB97" s="34" t="e">
        <f>AND(#REF!,"AAAAADbfeRs=")</f>
        <v>#REF!</v>
      </c>
      <c r="AC97" s="34" t="e">
        <f>AND(#REF!,"AAAAADbfeRw=")</f>
        <v>#REF!</v>
      </c>
      <c r="AD97" s="34" t="e">
        <f>AND(#REF!,"AAAAADbfeR0=")</f>
        <v>#REF!</v>
      </c>
      <c r="AE97" s="34" t="e">
        <f>AND(#REF!,"AAAAADbfeR4=")</f>
        <v>#REF!</v>
      </c>
      <c r="AF97" s="34" t="e">
        <f>IF(#REF!,"AAAAADbfeR8=",0)</f>
        <v>#REF!</v>
      </c>
      <c r="AG97" s="34" t="e">
        <f>AND(#REF!,"AAAAADbfeSA=")</f>
        <v>#REF!</v>
      </c>
      <c r="AH97" s="34" t="e">
        <f>AND(#REF!,"AAAAADbfeSE=")</f>
        <v>#REF!</v>
      </c>
      <c r="AI97" s="34" t="e">
        <f>AND(#REF!,"AAAAADbfeSI=")</f>
        <v>#REF!</v>
      </c>
      <c r="AJ97" s="34" t="e">
        <f>AND(#REF!,"AAAAADbfeSM=")</f>
        <v>#REF!</v>
      </c>
      <c r="AK97" s="34" t="e">
        <f>AND(#REF!,"AAAAADbfeSQ=")</f>
        <v>#REF!</v>
      </c>
      <c r="AL97" s="34" t="e">
        <f>AND(#REF!,"AAAAADbfeSU=")</f>
        <v>#REF!</v>
      </c>
      <c r="AM97" s="34" t="e">
        <f>AND(#REF!,"AAAAADbfeSY=")</f>
        <v>#REF!</v>
      </c>
      <c r="AN97" s="34" t="e">
        <f>AND(#REF!,"AAAAADbfeSc=")</f>
        <v>#REF!</v>
      </c>
      <c r="AO97" s="34" t="e">
        <f>AND(#REF!,"AAAAADbfeSg=")</f>
        <v>#REF!</v>
      </c>
      <c r="AP97" s="34" t="e">
        <f>AND(#REF!,"AAAAADbfeSk=")</f>
        <v>#REF!</v>
      </c>
      <c r="AQ97" s="34" t="e">
        <f>AND(#REF!,"AAAAADbfeSo=")</f>
        <v>#REF!</v>
      </c>
      <c r="AR97" s="34" t="e">
        <f>AND(#REF!,"AAAAADbfeSs=")</f>
        <v>#REF!</v>
      </c>
      <c r="AS97" s="34" t="e">
        <f>AND(#REF!,"AAAAADbfeSw=")</f>
        <v>#REF!</v>
      </c>
      <c r="AT97" s="34" t="e">
        <f>AND(#REF!,"AAAAADbfeS0=")</f>
        <v>#REF!</v>
      </c>
      <c r="AU97" s="34" t="e">
        <f>AND(#REF!,"AAAAADbfeS4=")</f>
        <v>#REF!</v>
      </c>
      <c r="AV97" s="34" t="e">
        <f>AND(#REF!,"AAAAADbfeS8=")</f>
        <v>#REF!</v>
      </c>
      <c r="AW97" s="34" t="e">
        <f>IF(#REF!,"AAAAADbfeTA=",0)</f>
        <v>#REF!</v>
      </c>
      <c r="AX97" s="34" t="e">
        <f>AND(#REF!,"AAAAADbfeTE=")</f>
        <v>#REF!</v>
      </c>
      <c r="AY97" s="34" t="e">
        <f>AND(#REF!,"AAAAADbfeTI=")</f>
        <v>#REF!</v>
      </c>
      <c r="AZ97" s="34" t="e">
        <f>AND(#REF!,"AAAAADbfeTM=")</f>
        <v>#REF!</v>
      </c>
      <c r="BA97" s="34" t="e">
        <f>AND(#REF!,"AAAAADbfeTQ=")</f>
        <v>#REF!</v>
      </c>
      <c r="BB97" s="34" t="e">
        <f>AND(#REF!,"AAAAADbfeTU=")</f>
        <v>#REF!</v>
      </c>
      <c r="BC97" s="34" t="e">
        <f>AND(#REF!,"AAAAADbfeTY=")</f>
        <v>#REF!</v>
      </c>
      <c r="BD97" s="34" t="e">
        <f>AND(#REF!,"AAAAADbfeTc=")</f>
        <v>#REF!</v>
      </c>
      <c r="BE97" s="34" t="e">
        <f>AND(#REF!,"AAAAADbfeTg=")</f>
        <v>#REF!</v>
      </c>
      <c r="BF97" s="34" t="e">
        <f>AND(#REF!,"AAAAADbfeTk=")</f>
        <v>#REF!</v>
      </c>
      <c r="BG97" s="34" t="e">
        <f>AND(#REF!,"AAAAADbfeTo=")</f>
        <v>#REF!</v>
      </c>
      <c r="BH97" s="34" t="e">
        <f>AND(#REF!,"AAAAADbfeTs=")</f>
        <v>#REF!</v>
      </c>
      <c r="BI97" s="34" t="e">
        <f>AND(#REF!,"AAAAADbfeTw=")</f>
        <v>#REF!</v>
      </c>
      <c r="BJ97" s="34" t="e">
        <f>AND(#REF!,"AAAAADbfeT0=")</f>
        <v>#REF!</v>
      </c>
      <c r="BK97" s="34" t="e">
        <f>AND(#REF!,"AAAAADbfeT4=")</f>
        <v>#REF!</v>
      </c>
      <c r="BL97" s="34" t="e">
        <f>AND(#REF!,"AAAAADbfeT8=")</f>
        <v>#REF!</v>
      </c>
      <c r="BM97" s="34" t="e">
        <f>AND(#REF!,"AAAAADbfeUA=")</f>
        <v>#REF!</v>
      </c>
      <c r="BN97" s="34" t="e">
        <f>IF(#REF!,"AAAAADbfeUE=",0)</f>
        <v>#REF!</v>
      </c>
      <c r="BO97" s="34" t="e">
        <f>AND(#REF!,"AAAAADbfeUI=")</f>
        <v>#REF!</v>
      </c>
      <c r="BP97" s="34" t="e">
        <f>AND(#REF!,"AAAAADbfeUM=")</f>
        <v>#REF!</v>
      </c>
      <c r="BQ97" s="34" t="e">
        <f>AND(#REF!,"AAAAADbfeUQ=")</f>
        <v>#REF!</v>
      </c>
      <c r="BR97" s="34" t="e">
        <f>AND(#REF!,"AAAAADbfeUU=")</f>
        <v>#REF!</v>
      </c>
      <c r="BS97" s="34" t="e">
        <f>AND(#REF!,"AAAAADbfeUY=")</f>
        <v>#REF!</v>
      </c>
      <c r="BT97" s="34" t="e">
        <f>AND(#REF!,"AAAAADbfeUc=")</f>
        <v>#REF!</v>
      </c>
      <c r="BU97" s="34" t="e">
        <f>AND(#REF!,"AAAAADbfeUg=")</f>
        <v>#REF!</v>
      </c>
      <c r="BV97" s="34" t="e">
        <f>AND(#REF!,"AAAAADbfeUk=")</f>
        <v>#REF!</v>
      </c>
      <c r="BW97" s="34" t="e">
        <f>AND(#REF!,"AAAAADbfeUo=")</f>
        <v>#REF!</v>
      </c>
      <c r="BX97" s="34" t="e">
        <f>AND(#REF!,"AAAAADbfeUs=")</f>
        <v>#REF!</v>
      </c>
      <c r="BY97" s="34" t="e">
        <f>AND(#REF!,"AAAAADbfeUw=")</f>
        <v>#REF!</v>
      </c>
      <c r="BZ97" s="34" t="e">
        <f>AND(#REF!,"AAAAADbfeU0=")</f>
        <v>#REF!</v>
      </c>
      <c r="CA97" s="34" t="e">
        <f>AND(#REF!,"AAAAADbfeU4=")</f>
        <v>#REF!</v>
      </c>
      <c r="CB97" s="34" t="e">
        <f>AND(#REF!,"AAAAADbfeU8=")</f>
        <v>#REF!</v>
      </c>
      <c r="CC97" s="34" t="e">
        <f>AND(#REF!,"AAAAADbfeVA=")</f>
        <v>#REF!</v>
      </c>
      <c r="CD97" s="34" t="e">
        <f>AND(#REF!,"AAAAADbfeVE=")</f>
        <v>#REF!</v>
      </c>
      <c r="CE97" s="34" t="e">
        <f>IF(#REF!,"AAAAADbfeVI=",0)</f>
        <v>#REF!</v>
      </c>
      <c r="CF97" s="34" t="e">
        <f>AND(#REF!,"AAAAADbfeVM=")</f>
        <v>#REF!</v>
      </c>
      <c r="CG97" s="34" t="e">
        <f>AND(#REF!,"AAAAADbfeVQ=")</f>
        <v>#REF!</v>
      </c>
      <c r="CH97" s="34" t="e">
        <f>AND(#REF!,"AAAAADbfeVU=")</f>
        <v>#REF!</v>
      </c>
      <c r="CI97" s="34" t="e">
        <f>AND(#REF!,"AAAAADbfeVY=")</f>
        <v>#REF!</v>
      </c>
      <c r="CJ97" s="34" t="e">
        <f>AND(#REF!,"AAAAADbfeVc=")</f>
        <v>#REF!</v>
      </c>
      <c r="CK97" s="34" t="e">
        <f>AND(#REF!,"AAAAADbfeVg=")</f>
        <v>#REF!</v>
      </c>
      <c r="CL97" s="34" t="e">
        <f>AND(#REF!,"AAAAADbfeVk=")</f>
        <v>#REF!</v>
      </c>
      <c r="CM97" s="34" t="e">
        <f>AND(#REF!,"AAAAADbfeVo=")</f>
        <v>#REF!</v>
      </c>
      <c r="CN97" s="34" t="e">
        <f>AND(#REF!,"AAAAADbfeVs=")</f>
        <v>#REF!</v>
      </c>
      <c r="CO97" s="34" t="e">
        <f>AND(#REF!,"AAAAADbfeVw=")</f>
        <v>#REF!</v>
      </c>
      <c r="CP97" s="34" t="e">
        <f>AND(#REF!,"AAAAADbfeV0=")</f>
        <v>#REF!</v>
      </c>
      <c r="CQ97" s="34" t="e">
        <f>AND(#REF!,"AAAAADbfeV4=")</f>
        <v>#REF!</v>
      </c>
      <c r="CR97" s="34" t="e">
        <f>AND(#REF!,"AAAAADbfeV8=")</f>
        <v>#REF!</v>
      </c>
      <c r="CS97" s="34" t="e">
        <f>AND(#REF!,"AAAAADbfeWA=")</f>
        <v>#REF!</v>
      </c>
      <c r="CT97" s="34" t="e">
        <f>AND(#REF!,"AAAAADbfeWE=")</f>
        <v>#REF!</v>
      </c>
      <c r="CU97" s="34" t="e">
        <f>AND(#REF!,"AAAAADbfeWI=")</f>
        <v>#REF!</v>
      </c>
      <c r="CV97" s="34" t="e">
        <f>IF(#REF!,"AAAAADbfeWM=",0)</f>
        <v>#REF!</v>
      </c>
      <c r="CW97" s="34" t="e">
        <f>AND(#REF!,"AAAAADbfeWQ=")</f>
        <v>#REF!</v>
      </c>
      <c r="CX97" s="34" t="e">
        <f>AND(#REF!,"AAAAADbfeWU=")</f>
        <v>#REF!</v>
      </c>
      <c r="CY97" s="34" t="e">
        <f>AND(#REF!,"AAAAADbfeWY=")</f>
        <v>#REF!</v>
      </c>
      <c r="CZ97" s="34" t="e">
        <f>AND(#REF!,"AAAAADbfeWc=")</f>
        <v>#REF!</v>
      </c>
      <c r="DA97" s="34" t="e">
        <f>AND(#REF!,"AAAAADbfeWg=")</f>
        <v>#REF!</v>
      </c>
      <c r="DB97" s="34" t="e">
        <f>AND(#REF!,"AAAAADbfeWk=")</f>
        <v>#REF!</v>
      </c>
      <c r="DC97" s="34" t="e">
        <f>AND(#REF!,"AAAAADbfeWo=")</f>
        <v>#REF!</v>
      </c>
      <c r="DD97" s="34" t="e">
        <f>AND(#REF!,"AAAAADbfeWs=")</f>
        <v>#REF!</v>
      </c>
      <c r="DE97" s="34" t="e">
        <f>AND(#REF!,"AAAAADbfeWw=")</f>
        <v>#REF!</v>
      </c>
      <c r="DF97" s="34" t="e">
        <f>AND(#REF!,"AAAAADbfeW0=")</f>
        <v>#REF!</v>
      </c>
      <c r="DG97" s="34" t="e">
        <f>AND(#REF!,"AAAAADbfeW4=")</f>
        <v>#REF!</v>
      </c>
      <c r="DH97" s="34" t="e">
        <f>AND(#REF!,"AAAAADbfeW8=")</f>
        <v>#REF!</v>
      </c>
      <c r="DI97" s="34" t="e">
        <f>AND(#REF!,"AAAAADbfeXA=")</f>
        <v>#REF!</v>
      </c>
      <c r="DJ97" s="34" t="e">
        <f>AND(#REF!,"AAAAADbfeXE=")</f>
        <v>#REF!</v>
      </c>
      <c r="DK97" s="34" t="e">
        <f>AND(#REF!,"AAAAADbfeXI=")</f>
        <v>#REF!</v>
      </c>
      <c r="DL97" s="34" t="e">
        <f>AND(#REF!,"AAAAADbfeXM=")</f>
        <v>#REF!</v>
      </c>
      <c r="DM97" s="34" t="e">
        <f>IF(#REF!,"AAAAADbfeXQ=",0)</f>
        <v>#REF!</v>
      </c>
      <c r="DN97" s="34" t="e">
        <f>AND(#REF!,"AAAAADbfeXU=")</f>
        <v>#REF!</v>
      </c>
      <c r="DO97" s="34" t="e">
        <f>AND(#REF!,"AAAAADbfeXY=")</f>
        <v>#REF!</v>
      </c>
      <c r="DP97" s="34" t="e">
        <f>AND(#REF!,"AAAAADbfeXc=")</f>
        <v>#REF!</v>
      </c>
      <c r="DQ97" s="34" t="e">
        <f>AND(#REF!,"AAAAADbfeXg=")</f>
        <v>#REF!</v>
      </c>
      <c r="DR97" s="34" t="e">
        <f>AND(#REF!,"AAAAADbfeXk=")</f>
        <v>#REF!</v>
      </c>
      <c r="DS97" s="34" t="e">
        <f>AND(#REF!,"AAAAADbfeXo=")</f>
        <v>#REF!</v>
      </c>
      <c r="DT97" s="34" t="e">
        <f>AND(#REF!,"AAAAADbfeXs=")</f>
        <v>#REF!</v>
      </c>
      <c r="DU97" s="34" t="e">
        <f>AND(#REF!,"AAAAADbfeXw=")</f>
        <v>#REF!</v>
      </c>
      <c r="DV97" s="34" t="e">
        <f>AND(#REF!,"AAAAADbfeX0=")</f>
        <v>#REF!</v>
      </c>
      <c r="DW97" s="34" t="e">
        <f>AND(#REF!,"AAAAADbfeX4=")</f>
        <v>#REF!</v>
      </c>
      <c r="DX97" s="34" t="e">
        <f>AND(#REF!,"AAAAADbfeX8=")</f>
        <v>#REF!</v>
      </c>
      <c r="DY97" s="34" t="e">
        <f>AND(#REF!,"AAAAADbfeYA=")</f>
        <v>#REF!</v>
      </c>
      <c r="DZ97" s="34" t="e">
        <f>AND(#REF!,"AAAAADbfeYE=")</f>
        <v>#REF!</v>
      </c>
      <c r="EA97" s="34" t="e">
        <f>AND(#REF!,"AAAAADbfeYI=")</f>
        <v>#REF!</v>
      </c>
      <c r="EB97" s="34" t="e">
        <f>AND(#REF!,"AAAAADbfeYM=")</f>
        <v>#REF!</v>
      </c>
      <c r="EC97" s="34" t="e">
        <f>AND(#REF!,"AAAAADbfeYQ=")</f>
        <v>#REF!</v>
      </c>
      <c r="ED97" s="34" t="e">
        <f>IF(#REF!,"AAAAADbfeYU=",0)</f>
        <v>#REF!</v>
      </c>
      <c r="EE97" s="34" t="e">
        <f>AND(#REF!,"AAAAADbfeYY=")</f>
        <v>#REF!</v>
      </c>
      <c r="EF97" s="34" t="e">
        <f>AND(#REF!,"AAAAADbfeYc=")</f>
        <v>#REF!</v>
      </c>
      <c r="EG97" s="34" t="e">
        <f>AND(#REF!,"AAAAADbfeYg=")</f>
        <v>#REF!</v>
      </c>
      <c r="EH97" s="34" t="e">
        <f>AND(#REF!,"AAAAADbfeYk=")</f>
        <v>#REF!</v>
      </c>
      <c r="EI97" s="34" t="e">
        <f>AND(#REF!,"AAAAADbfeYo=")</f>
        <v>#REF!</v>
      </c>
      <c r="EJ97" s="34" t="e">
        <f>AND(#REF!,"AAAAADbfeYs=")</f>
        <v>#REF!</v>
      </c>
      <c r="EK97" s="34" t="e">
        <f>AND(#REF!,"AAAAADbfeYw=")</f>
        <v>#REF!</v>
      </c>
      <c r="EL97" s="34" t="e">
        <f>AND(#REF!,"AAAAADbfeY0=")</f>
        <v>#REF!</v>
      </c>
      <c r="EM97" s="34" t="e">
        <f>AND(#REF!,"AAAAADbfeY4=")</f>
        <v>#REF!</v>
      </c>
      <c r="EN97" s="34" t="e">
        <f>AND(#REF!,"AAAAADbfeY8=")</f>
        <v>#REF!</v>
      </c>
      <c r="EO97" s="34" t="e">
        <f>AND(#REF!,"AAAAADbfeZA=")</f>
        <v>#REF!</v>
      </c>
      <c r="EP97" s="34" t="e">
        <f>AND(#REF!,"AAAAADbfeZE=")</f>
        <v>#REF!</v>
      </c>
      <c r="EQ97" s="34" t="e">
        <f>AND(#REF!,"AAAAADbfeZI=")</f>
        <v>#REF!</v>
      </c>
      <c r="ER97" s="34" t="e">
        <f>AND(#REF!,"AAAAADbfeZM=")</f>
        <v>#REF!</v>
      </c>
      <c r="ES97" s="34" t="e">
        <f>AND(#REF!,"AAAAADbfeZQ=")</f>
        <v>#REF!</v>
      </c>
      <c r="ET97" s="34" t="e">
        <f>AND(#REF!,"AAAAADbfeZU=")</f>
        <v>#REF!</v>
      </c>
      <c r="EU97" s="34" t="e">
        <f>IF(#REF!,"AAAAADbfeZY=",0)</f>
        <v>#REF!</v>
      </c>
      <c r="EV97" s="34" t="e">
        <f>AND(#REF!,"AAAAADbfeZc=")</f>
        <v>#REF!</v>
      </c>
      <c r="EW97" s="34" t="e">
        <f>AND(#REF!,"AAAAADbfeZg=")</f>
        <v>#REF!</v>
      </c>
      <c r="EX97" s="34" t="e">
        <f>AND(#REF!,"AAAAADbfeZk=")</f>
        <v>#REF!</v>
      </c>
      <c r="EY97" s="34" t="e">
        <f>AND(#REF!,"AAAAADbfeZo=")</f>
        <v>#REF!</v>
      </c>
      <c r="EZ97" s="34" t="e">
        <f>AND(#REF!,"AAAAADbfeZs=")</f>
        <v>#REF!</v>
      </c>
      <c r="FA97" s="34" t="e">
        <f>AND(#REF!,"AAAAADbfeZw=")</f>
        <v>#REF!</v>
      </c>
      <c r="FB97" s="34" t="e">
        <f>AND(#REF!,"AAAAADbfeZ0=")</f>
        <v>#REF!</v>
      </c>
      <c r="FC97" s="34" t="e">
        <f>AND(#REF!,"AAAAADbfeZ4=")</f>
        <v>#REF!</v>
      </c>
      <c r="FD97" s="34" t="e">
        <f>AND(#REF!,"AAAAADbfeZ8=")</f>
        <v>#REF!</v>
      </c>
      <c r="FE97" s="34" t="e">
        <f>AND(#REF!,"AAAAADbfeaA=")</f>
        <v>#REF!</v>
      </c>
      <c r="FF97" s="34" t="e">
        <f>AND(#REF!,"AAAAADbfeaE=")</f>
        <v>#REF!</v>
      </c>
      <c r="FG97" s="34" t="e">
        <f>AND(#REF!,"AAAAADbfeaI=")</f>
        <v>#REF!</v>
      </c>
      <c r="FH97" s="34" t="e">
        <f>AND(#REF!,"AAAAADbfeaM=")</f>
        <v>#REF!</v>
      </c>
      <c r="FI97" s="34" t="e">
        <f>AND(#REF!,"AAAAADbfeaQ=")</f>
        <v>#REF!</v>
      </c>
      <c r="FJ97" s="34" t="e">
        <f>AND(#REF!,"AAAAADbfeaU=")</f>
        <v>#REF!</v>
      </c>
      <c r="FK97" s="34" t="e">
        <f>AND(#REF!,"AAAAADbfeaY=")</f>
        <v>#REF!</v>
      </c>
      <c r="FL97" s="34" t="e">
        <f>IF(#REF!,"AAAAADbfeac=",0)</f>
        <v>#REF!</v>
      </c>
      <c r="FM97" s="34" t="e">
        <f>AND(#REF!,"AAAAADbfeag=")</f>
        <v>#REF!</v>
      </c>
      <c r="FN97" s="34" t="e">
        <f>AND(#REF!,"AAAAADbfeak=")</f>
        <v>#REF!</v>
      </c>
      <c r="FO97" s="34" t="e">
        <f>AND(#REF!,"AAAAADbfeao=")</f>
        <v>#REF!</v>
      </c>
      <c r="FP97" s="34" t="e">
        <f>AND(#REF!,"AAAAADbfeas=")</f>
        <v>#REF!</v>
      </c>
      <c r="FQ97" s="34" t="e">
        <f>AND(#REF!,"AAAAADbfeaw=")</f>
        <v>#REF!</v>
      </c>
      <c r="FR97" s="34" t="e">
        <f>AND(#REF!,"AAAAADbfea0=")</f>
        <v>#REF!</v>
      </c>
      <c r="FS97" s="34" t="e">
        <f>AND(#REF!,"AAAAADbfea4=")</f>
        <v>#REF!</v>
      </c>
      <c r="FT97" s="34" t="e">
        <f>AND(#REF!,"AAAAADbfea8=")</f>
        <v>#REF!</v>
      </c>
      <c r="FU97" s="34" t="e">
        <f>AND(#REF!,"AAAAADbfebA=")</f>
        <v>#REF!</v>
      </c>
      <c r="FV97" s="34" t="e">
        <f>AND(#REF!,"AAAAADbfebE=")</f>
        <v>#REF!</v>
      </c>
      <c r="FW97" s="34" t="e">
        <f>AND(#REF!,"AAAAADbfebI=")</f>
        <v>#REF!</v>
      </c>
      <c r="FX97" s="34" t="e">
        <f>AND(#REF!,"AAAAADbfebM=")</f>
        <v>#REF!</v>
      </c>
      <c r="FY97" s="34" t="e">
        <f>AND(#REF!,"AAAAADbfebQ=")</f>
        <v>#REF!</v>
      </c>
      <c r="FZ97" s="34" t="e">
        <f>AND(#REF!,"AAAAADbfebU=")</f>
        <v>#REF!</v>
      </c>
      <c r="GA97" s="34" t="e">
        <f>AND(#REF!,"AAAAADbfebY=")</f>
        <v>#REF!</v>
      </c>
      <c r="GB97" s="34" t="e">
        <f>AND(#REF!,"AAAAADbfebc=")</f>
        <v>#REF!</v>
      </c>
      <c r="GC97" s="34" t="e">
        <f>IF(#REF!,"AAAAADbfebg=",0)</f>
        <v>#REF!</v>
      </c>
      <c r="GD97" s="34" t="e">
        <f>AND(#REF!,"AAAAADbfebk=")</f>
        <v>#REF!</v>
      </c>
      <c r="GE97" s="34" t="e">
        <f>AND(#REF!,"AAAAADbfebo=")</f>
        <v>#REF!</v>
      </c>
      <c r="GF97" s="34" t="e">
        <f>AND(#REF!,"AAAAADbfebs=")</f>
        <v>#REF!</v>
      </c>
      <c r="GG97" s="34" t="e">
        <f>AND(#REF!,"AAAAADbfebw=")</f>
        <v>#REF!</v>
      </c>
      <c r="GH97" s="34" t="e">
        <f>AND(#REF!,"AAAAADbfeb0=")</f>
        <v>#REF!</v>
      </c>
      <c r="GI97" s="34" t="e">
        <f>AND(#REF!,"AAAAADbfeb4=")</f>
        <v>#REF!</v>
      </c>
      <c r="GJ97" s="34" t="e">
        <f>AND(#REF!,"AAAAADbfeb8=")</f>
        <v>#REF!</v>
      </c>
      <c r="GK97" s="34" t="e">
        <f>AND(#REF!,"AAAAADbfecA=")</f>
        <v>#REF!</v>
      </c>
      <c r="GL97" s="34" t="e">
        <f>AND(#REF!,"AAAAADbfecE=")</f>
        <v>#REF!</v>
      </c>
      <c r="GM97" s="34" t="e">
        <f>AND(#REF!,"AAAAADbfecI=")</f>
        <v>#REF!</v>
      </c>
      <c r="GN97" s="34" t="e">
        <f>AND(#REF!,"AAAAADbfecM=")</f>
        <v>#REF!</v>
      </c>
      <c r="GO97" s="34" t="e">
        <f>AND(#REF!,"AAAAADbfecQ=")</f>
        <v>#REF!</v>
      </c>
      <c r="GP97" s="34" t="e">
        <f>AND(#REF!,"AAAAADbfecU=")</f>
        <v>#REF!</v>
      </c>
      <c r="GQ97" s="34" t="e">
        <f>AND(#REF!,"AAAAADbfecY=")</f>
        <v>#REF!</v>
      </c>
      <c r="GR97" s="34" t="e">
        <f>AND(#REF!,"AAAAADbfecc=")</f>
        <v>#REF!</v>
      </c>
      <c r="GS97" s="34" t="e">
        <f>AND(#REF!,"AAAAADbfecg=")</f>
        <v>#REF!</v>
      </c>
      <c r="GT97" s="34" t="e">
        <f>IF(#REF!,"AAAAADbfeck=",0)</f>
        <v>#REF!</v>
      </c>
      <c r="GU97" s="34" t="e">
        <f>AND(#REF!,"AAAAADbfeco=")</f>
        <v>#REF!</v>
      </c>
      <c r="GV97" s="34" t="e">
        <f>AND(#REF!,"AAAAADbfecs=")</f>
        <v>#REF!</v>
      </c>
      <c r="GW97" s="34" t="e">
        <f>AND(#REF!,"AAAAADbfecw=")</f>
        <v>#REF!</v>
      </c>
      <c r="GX97" s="34" t="e">
        <f>AND(#REF!,"AAAAADbfec0=")</f>
        <v>#REF!</v>
      </c>
      <c r="GY97" s="34" t="e">
        <f>AND(#REF!,"AAAAADbfec4=")</f>
        <v>#REF!</v>
      </c>
      <c r="GZ97" s="34" t="e">
        <f>AND(#REF!,"AAAAADbfec8=")</f>
        <v>#REF!</v>
      </c>
      <c r="HA97" s="34" t="e">
        <f>AND(#REF!,"AAAAADbfedA=")</f>
        <v>#REF!</v>
      </c>
      <c r="HB97" s="34" t="e">
        <f>AND(#REF!,"AAAAADbfedE=")</f>
        <v>#REF!</v>
      </c>
      <c r="HC97" s="34" t="e">
        <f>AND(#REF!,"AAAAADbfedI=")</f>
        <v>#REF!</v>
      </c>
      <c r="HD97" s="34" t="e">
        <f>AND(#REF!,"AAAAADbfedM=")</f>
        <v>#REF!</v>
      </c>
      <c r="HE97" s="34" t="e">
        <f>AND(#REF!,"AAAAADbfedQ=")</f>
        <v>#REF!</v>
      </c>
      <c r="HF97" s="34" t="e">
        <f>AND(#REF!,"AAAAADbfedU=")</f>
        <v>#REF!</v>
      </c>
      <c r="HG97" s="34" t="e">
        <f>AND(#REF!,"AAAAADbfedY=")</f>
        <v>#REF!</v>
      </c>
      <c r="HH97" s="34" t="e">
        <f>AND(#REF!,"AAAAADbfedc=")</f>
        <v>#REF!</v>
      </c>
      <c r="HI97" s="34" t="e">
        <f>AND(#REF!,"AAAAADbfedg=")</f>
        <v>#REF!</v>
      </c>
      <c r="HJ97" s="34" t="e">
        <f>AND(#REF!,"AAAAADbfedk=")</f>
        <v>#REF!</v>
      </c>
      <c r="HK97" s="34" t="e">
        <f>IF(#REF!,"AAAAADbfedo=",0)</f>
        <v>#REF!</v>
      </c>
      <c r="HL97" s="34" t="e">
        <f>AND(#REF!,"AAAAADbfeds=")</f>
        <v>#REF!</v>
      </c>
      <c r="HM97" s="34" t="e">
        <f>AND(#REF!,"AAAAADbfedw=")</f>
        <v>#REF!</v>
      </c>
      <c r="HN97" s="34" t="e">
        <f>AND(#REF!,"AAAAADbfed0=")</f>
        <v>#REF!</v>
      </c>
      <c r="HO97" s="34" t="e">
        <f>AND(#REF!,"AAAAADbfed4=")</f>
        <v>#REF!</v>
      </c>
      <c r="HP97" s="34" t="e">
        <f>AND(#REF!,"AAAAADbfed8=")</f>
        <v>#REF!</v>
      </c>
      <c r="HQ97" s="34" t="e">
        <f>AND(#REF!,"AAAAADbfeeA=")</f>
        <v>#REF!</v>
      </c>
      <c r="HR97" s="34" t="e">
        <f>AND(#REF!,"AAAAADbfeeE=")</f>
        <v>#REF!</v>
      </c>
      <c r="HS97" s="34" t="e">
        <f>AND(#REF!,"AAAAADbfeeI=")</f>
        <v>#REF!</v>
      </c>
      <c r="HT97" s="34" t="e">
        <f>AND(#REF!,"AAAAADbfeeM=")</f>
        <v>#REF!</v>
      </c>
      <c r="HU97" s="34" t="e">
        <f>AND(#REF!,"AAAAADbfeeQ=")</f>
        <v>#REF!</v>
      </c>
      <c r="HV97" s="34" t="e">
        <f>AND(#REF!,"AAAAADbfeeU=")</f>
        <v>#REF!</v>
      </c>
      <c r="HW97" s="34" t="e">
        <f>AND(#REF!,"AAAAADbfeeY=")</f>
        <v>#REF!</v>
      </c>
      <c r="HX97" s="34" t="e">
        <f>AND(#REF!,"AAAAADbfeec=")</f>
        <v>#REF!</v>
      </c>
      <c r="HY97" s="34" t="e">
        <f>AND(#REF!,"AAAAADbfeeg=")</f>
        <v>#REF!</v>
      </c>
      <c r="HZ97" s="34" t="e">
        <f>AND(#REF!,"AAAAADbfeek=")</f>
        <v>#REF!</v>
      </c>
      <c r="IA97" s="34" t="e">
        <f>AND(#REF!,"AAAAADbfeeo=")</f>
        <v>#REF!</v>
      </c>
      <c r="IB97" s="34" t="e">
        <f>IF(#REF!,"AAAAADbfees=",0)</f>
        <v>#REF!</v>
      </c>
      <c r="IC97" s="34" t="e">
        <f>AND(#REF!,"AAAAADbfeew=")</f>
        <v>#REF!</v>
      </c>
      <c r="ID97" s="34" t="e">
        <f>AND(#REF!,"AAAAADbfee0=")</f>
        <v>#REF!</v>
      </c>
      <c r="IE97" s="34" t="e">
        <f>AND(#REF!,"AAAAADbfee4=")</f>
        <v>#REF!</v>
      </c>
      <c r="IF97" s="34" t="e">
        <f>AND(#REF!,"AAAAADbfee8=")</f>
        <v>#REF!</v>
      </c>
      <c r="IG97" s="34" t="e">
        <f>AND(#REF!,"AAAAADbfefA=")</f>
        <v>#REF!</v>
      </c>
      <c r="IH97" s="34" t="e">
        <f>AND(#REF!,"AAAAADbfefE=")</f>
        <v>#REF!</v>
      </c>
      <c r="II97" s="34" t="e">
        <f>AND(#REF!,"AAAAADbfefI=")</f>
        <v>#REF!</v>
      </c>
      <c r="IJ97" s="34" t="e">
        <f>AND(#REF!,"AAAAADbfefM=")</f>
        <v>#REF!</v>
      </c>
      <c r="IK97" s="34" t="e">
        <f>AND(#REF!,"AAAAADbfefQ=")</f>
        <v>#REF!</v>
      </c>
      <c r="IL97" s="34" t="e">
        <f>AND(#REF!,"AAAAADbfefU=")</f>
        <v>#REF!</v>
      </c>
      <c r="IM97" s="34" t="e">
        <f>AND(#REF!,"AAAAADbfefY=")</f>
        <v>#REF!</v>
      </c>
      <c r="IN97" s="34" t="e">
        <f>AND(#REF!,"AAAAADbfefc=")</f>
        <v>#REF!</v>
      </c>
      <c r="IO97" s="34" t="e">
        <f>AND(#REF!,"AAAAADbfefg=")</f>
        <v>#REF!</v>
      </c>
      <c r="IP97" s="34" t="e">
        <f>AND(#REF!,"AAAAADbfefk=")</f>
        <v>#REF!</v>
      </c>
      <c r="IQ97" s="34" t="e">
        <f>AND(#REF!,"AAAAADbfefo=")</f>
        <v>#REF!</v>
      </c>
      <c r="IR97" s="34" t="e">
        <f>AND(#REF!,"AAAAADbfefs=")</f>
        <v>#REF!</v>
      </c>
      <c r="IS97" s="34" t="e">
        <f>IF(#REF!,"AAAAADbfefw=",0)</f>
        <v>#REF!</v>
      </c>
      <c r="IT97" s="34" t="e">
        <f>AND(#REF!,"AAAAADbfef0=")</f>
        <v>#REF!</v>
      </c>
      <c r="IU97" s="34" t="e">
        <f>AND(#REF!,"AAAAADbfef4=")</f>
        <v>#REF!</v>
      </c>
      <c r="IV97" s="34" t="e">
        <f>AND(#REF!,"AAAAADbfef8=")</f>
        <v>#REF!</v>
      </c>
    </row>
    <row r="98" spans="1:256" ht="12.75" customHeight="1" x14ac:dyDescent="0.2">
      <c r="A98" s="34" t="e">
        <f>AND(#REF!,"AAAAAH97/wA=")</f>
        <v>#REF!</v>
      </c>
      <c r="B98" s="34" t="e">
        <f>AND(#REF!,"AAAAAH97/wE=")</f>
        <v>#REF!</v>
      </c>
      <c r="C98" s="34" t="e">
        <f>AND(#REF!,"AAAAAH97/wI=")</f>
        <v>#REF!</v>
      </c>
      <c r="D98" s="34" t="e">
        <f>AND(#REF!,"AAAAAH97/wM=")</f>
        <v>#REF!</v>
      </c>
      <c r="E98" s="34" t="e">
        <f>AND(#REF!,"AAAAAH97/wQ=")</f>
        <v>#REF!</v>
      </c>
      <c r="F98" s="34" t="e">
        <f>AND(#REF!,"AAAAAH97/wU=")</f>
        <v>#REF!</v>
      </c>
      <c r="G98" s="34" t="e">
        <f>AND(#REF!,"AAAAAH97/wY=")</f>
        <v>#REF!</v>
      </c>
      <c r="H98" s="34" t="e">
        <f>AND(#REF!,"AAAAAH97/wc=")</f>
        <v>#REF!</v>
      </c>
      <c r="I98" s="34" t="e">
        <f>AND(#REF!,"AAAAAH97/wg=")</f>
        <v>#REF!</v>
      </c>
      <c r="J98" s="34" t="e">
        <f>AND(#REF!,"AAAAAH97/wk=")</f>
        <v>#REF!</v>
      </c>
      <c r="K98" s="34" t="e">
        <f>AND(#REF!,"AAAAAH97/wo=")</f>
        <v>#REF!</v>
      </c>
      <c r="L98" s="34" t="e">
        <f>AND(#REF!,"AAAAAH97/ws=")</f>
        <v>#REF!</v>
      </c>
      <c r="M98" s="34" t="e">
        <f>AND(#REF!,"AAAAAH97/ww=")</f>
        <v>#REF!</v>
      </c>
      <c r="N98" s="34" t="e">
        <f>IF(#REF!,"AAAAAH97/w0=",0)</f>
        <v>#REF!</v>
      </c>
      <c r="O98" s="34" t="e">
        <f>AND(#REF!,"AAAAAH97/w4=")</f>
        <v>#REF!</v>
      </c>
      <c r="P98" s="34" t="e">
        <f>AND(#REF!,"AAAAAH97/w8=")</f>
        <v>#REF!</v>
      </c>
      <c r="Q98" s="34" t="e">
        <f>AND(#REF!,"AAAAAH97/xA=")</f>
        <v>#REF!</v>
      </c>
      <c r="R98" s="34" t="e">
        <f>AND(#REF!,"AAAAAH97/xE=")</f>
        <v>#REF!</v>
      </c>
      <c r="S98" s="34" t="e">
        <f>AND(#REF!,"AAAAAH97/xI=")</f>
        <v>#REF!</v>
      </c>
      <c r="T98" s="34" t="e">
        <f>AND(#REF!,"AAAAAH97/xM=")</f>
        <v>#REF!</v>
      </c>
      <c r="U98" s="34" t="e">
        <f>AND(#REF!,"AAAAAH97/xQ=")</f>
        <v>#REF!</v>
      </c>
      <c r="V98" s="34" t="e">
        <f>AND(#REF!,"AAAAAH97/xU=")</f>
        <v>#REF!</v>
      </c>
      <c r="W98" s="34" t="e">
        <f>AND(#REF!,"AAAAAH97/xY=")</f>
        <v>#REF!</v>
      </c>
      <c r="X98" s="34" t="e">
        <f>AND(#REF!,"AAAAAH97/xc=")</f>
        <v>#REF!</v>
      </c>
      <c r="Y98" s="34" t="e">
        <f>AND(#REF!,"AAAAAH97/xg=")</f>
        <v>#REF!</v>
      </c>
      <c r="Z98" s="34" t="e">
        <f>AND(#REF!,"AAAAAH97/xk=")</f>
        <v>#REF!</v>
      </c>
      <c r="AA98" s="34" t="e">
        <f>AND(#REF!,"AAAAAH97/xo=")</f>
        <v>#REF!</v>
      </c>
      <c r="AB98" s="34" t="e">
        <f>AND(#REF!,"AAAAAH97/xs=")</f>
        <v>#REF!</v>
      </c>
      <c r="AC98" s="34" t="e">
        <f>AND(#REF!,"AAAAAH97/xw=")</f>
        <v>#REF!</v>
      </c>
      <c r="AD98" s="34" t="e">
        <f>AND(#REF!,"AAAAAH97/x0=")</f>
        <v>#REF!</v>
      </c>
      <c r="AE98" s="34" t="e">
        <f>IF(#REF!,"AAAAAH97/x4=",0)</f>
        <v>#REF!</v>
      </c>
      <c r="AF98" s="34" t="e">
        <f>AND(#REF!,"AAAAAH97/x8=")</f>
        <v>#REF!</v>
      </c>
      <c r="AG98" s="34" t="e">
        <f>AND(#REF!,"AAAAAH97/yA=")</f>
        <v>#REF!</v>
      </c>
      <c r="AH98" s="34" t="e">
        <f>AND(#REF!,"AAAAAH97/yE=")</f>
        <v>#REF!</v>
      </c>
      <c r="AI98" s="34" t="e">
        <f>AND(#REF!,"AAAAAH97/yI=")</f>
        <v>#REF!</v>
      </c>
      <c r="AJ98" s="34" t="e">
        <f>AND(#REF!,"AAAAAH97/yM=")</f>
        <v>#REF!</v>
      </c>
      <c r="AK98" s="34" t="e">
        <f>AND(#REF!,"AAAAAH97/yQ=")</f>
        <v>#REF!</v>
      </c>
      <c r="AL98" s="34" t="e">
        <f>AND(#REF!,"AAAAAH97/yU=")</f>
        <v>#REF!</v>
      </c>
      <c r="AM98" s="34" t="e">
        <f>AND(#REF!,"AAAAAH97/yY=")</f>
        <v>#REF!</v>
      </c>
      <c r="AN98" s="34" t="e">
        <f>AND(#REF!,"AAAAAH97/yc=")</f>
        <v>#REF!</v>
      </c>
      <c r="AO98" s="34" t="e">
        <f>AND(#REF!,"AAAAAH97/yg=")</f>
        <v>#REF!</v>
      </c>
      <c r="AP98" s="34" t="e">
        <f>AND(#REF!,"AAAAAH97/yk=")</f>
        <v>#REF!</v>
      </c>
      <c r="AQ98" s="34" t="e">
        <f>AND(#REF!,"AAAAAH97/yo=")</f>
        <v>#REF!</v>
      </c>
      <c r="AR98" s="34" t="e">
        <f>AND(#REF!,"AAAAAH97/ys=")</f>
        <v>#REF!</v>
      </c>
      <c r="AS98" s="34" t="e">
        <f>AND(#REF!,"AAAAAH97/yw=")</f>
        <v>#REF!</v>
      </c>
      <c r="AT98" s="34" t="e">
        <f>AND(#REF!,"AAAAAH97/y0=")</f>
        <v>#REF!</v>
      </c>
      <c r="AU98" s="34" t="e">
        <f>AND(#REF!,"AAAAAH97/y4=")</f>
        <v>#REF!</v>
      </c>
      <c r="AV98" s="34" t="e">
        <f>IF(#REF!,"AAAAAH97/y8=",0)</f>
        <v>#REF!</v>
      </c>
      <c r="AW98" s="34" t="e">
        <f>AND(#REF!,"AAAAAH97/zA=")</f>
        <v>#REF!</v>
      </c>
      <c r="AX98" s="34" t="e">
        <f>AND(#REF!,"AAAAAH97/zE=")</f>
        <v>#REF!</v>
      </c>
      <c r="AY98" s="34" t="e">
        <f>AND(#REF!,"AAAAAH97/zI=")</f>
        <v>#REF!</v>
      </c>
      <c r="AZ98" s="34" t="e">
        <f>AND(#REF!,"AAAAAH97/zM=")</f>
        <v>#REF!</v>
      </c>
      <c r="BA98" s="34" t="e">
        <f>AND(#REF!,"AAAAAH97/zQ=")</f>
        <v>#REF!</v>
      </c>
      <c r="BB98" s="34" t="e">
        <f>AND(#REF!,"AAAAAH97/zU=")</f>
        <v>#REF!</v>
      </c>
      <c r="BC98" s="34" t="e">
        <f>AND(#REF!,"AAAAAH97/zY=")</f>
        <v>#REF!</v>
      </c>
      <c r="BD98" s="34" t="e">
        <f>AND(#REF!,"AAAAAH97/zc=")</f>
        <v>#REF!</v>
      </c>
      <c r="BE98" s="34" t="e">
        <f>AND(#REF!,"AAAAAH97/zg=")</f>
        <v>#REF!</v>
      </c>
      <c r="BF98" s="34" t="e">
        <f>AND(#REF!,"AAAAAH97/zk=")</f>
        <v>#REF!</v>
      </c>
      <c r="BG98" s="34" t="e">
        <f>AND(#REF!,"AAAAAH97/zo=")</f>
        <v>#REF!</v>
      </c>
      <c r="BH98" s="34" t="e">
        <f>AND(#REF!,"AAAAAH97/zs=")</f>
        <v>#REF!</v>
      </c>
      <c r="BI98" s="34" t="e">
        <f>AND(#REF!,"AAAAAH97/zw=")</f>
        <v>#REF!</v>
      </c>
      <c r="BJ98" s="34" t="e">
        <f>AND(#REF!,"AAAAAH97/z0=")</f>
        <v>#REF!</v>
      </c>
      <c r="BK98" s="34" t="e">
        <f>AND(#REF!,"AAAAAH97/z4=")</f>
        <v>#REF!</v>
      </c>
      <c r="BL98" s="34" t="e">
        <f>AND(#REF!,"AAAAAH97/z8=")</f>
        <v>#REF!</v>
      </c>
      <c r="BM98" s="34" t="e">
        <f>IF(#REF!,"AAAAAH97/0A=",0)</f>
        <v>#REF!</v>
      </c>
      <c r="BN98" s="34" t="e">
        <f>AND(#REF!,"AAAAAH97/0E=")</f>
        <v>#REF!</v>
      </c>
      <c r="BO98" s="34" t="e">
        <f>AND(#REF!,"AAAAAH97/0I=")</f>
        <v>#REF!</v>
      </c>
      <c r="BP98" s="34" t="e">
        <f>AND(#REF!,"AAAAAH97/0M=")</f>
        <v>#REF!</v>
      </c>
      <c r="BQ98" s="34" t="e">
        <f>AND(#REF!,"AAAAAH97/0Q=")</f>
        <v>#REF!</v>
      </c>
      <c r="BR98" s="34" t="e">
        <f>AND(#REF!,"AAAAAH97/0U=")</f>
        <v>#REF!</v>
      </c>
      <c r="BS98" s="34" t="e">
        <f>AND(#REF!,"AAAAAH97/0Y=")</f>
        <v>#REF!</v>
      </c>
      <c r="BT98" s="34" t="e">
        <f>AND(#REF!,"AAAAAH97/0c=")</f>
        <v>#REF!</v>
      </c>
      <c r="BU98" s="34" t="e">
        <f>AND(#REF!,"AAAAAH97/0g=")</f>
        <v>#REF!</v>
      </c>
      <c r="BV98" s="34" t="e">
        <f>AND(#REF!,"AAAAAH97/0k=")</f>
        <v>#REF!</v>
      </c>
      <c r="BW98" s="34" t="e">
        <f>AND(#REF!,"AAAAAH97/0o=")</f>
        <v>#REF!</v>
      </c>
      <c r="BX98" s="34" t="e">
        <f>AND(#REF!,"AAAAAH97/0s=")</f>
        <v>#REF!</v>
      </c>
      <c r="BY98" s="34" t="e">
        <f>AND(#REF!,"AAAAAH97/0w=")</f>
        <v>#REF!</v>
      </c>
      <c r="BZ98" s="34" t="e">
        <f>AND(#REF!,"AAAAAH97/00=")</f>
        <v>#REF!</v>
      </c>
      <c r="CA98" s="34" t="e">
        <f>AND(#REF!,"AAAAAH97/04=")</f>
        <v>#REF!</v>
      </c>
      <c r="CB98" s="34" t="e">
        <f>AND(#REF!,"AAAAAH97/08=")</f>
        <v>#REF!</v>
      </c>
      <c r="CC98" s="34" t="e">
        <f>AND(#REF!,"AAAAAH97/1A=")</f>
        <v>#REF!</v>
      </c>
      <c r="CD98" s="34" t="e">
        <f>IF(#REF!,"AAAAAH97/1E=",0)</f>
        <v>#REF!</v>
      </c>
      <c r="CE98" s="34" t="e">
        <f>AND(#REF!,"AAAAAH97/1I=")</f>
        <v>#REF!</v>
      </c>
      <c r="CF98" s="34" t="e">
        <f>AND(#REF!,"AAAAAH97/1M=")</f>
        <v>#REF!</v>
      </c>
      <c r="CG98" s="34" t="e">
        <f>AND(#REF!,"AAAAAH97/1Q=")</f>
        <v>#REF!</v>
      </c>
      <c r="CH98" s="34" t="e">
        <f>AND(#REF!,"AAAAAH97/1U=")</f>
        <v>#REF!</v>
      </c>
      <c r="CI98" s="34" t="e">
        <f>AND(#REF!,"AAAAAH97/1Y=")</f>
        <v>#REF!</v>
      </c>
      <c r="CJ98" s="34" t="e">
        <f>AND(#REF!,"AAAAAH97/1c=")</f>
        <v>#REF!</v>
      </c>
      <c r="CK98" s="34" t="e">
        <f>AND(#REF!,"AAAAAH97/1g=")</f>
        <v>#REF!</v>
      </c>
      <c r="CL98" s="34" t="e">
        <f>AND(#REF!,"AAAAAH97/1k=")</f>
        <v>#REF!</v>
      </c>
      <c r="CM98" s="34" t="e">
        <f>AND(#REF!,"AAAAAH97/1o=")</f>
        <v>#REF!</v>
      </c>
      <c r="CN98" s="34" t="e">
        <f>AND(#REF!,"AAAAAH97/1s=")</f>
        <v>#REF!</v>
      </c>
      <c r="CO98" s="34" t="e">
        <f>AND(#REF!,"AAAAAH97/1w=")</f>
        <v>#REF!</v>
      </c>
      <c r="CP98" s="34" t="e">
        <f>AND(#REF!,"AAAAAH97/10=")</f>
        <v>#REF!</v>
      </c>
      <c r="CQ98" s="34" t="e">
        <f>AND(#REF!,"AAAAAH97/14=")</f>
        <v>#REF!</v>
      </c>
      <c r="CR98" s="34" t="e">
        <f>AND(#REF!,"AAAAAH97/18=")</f>
        <v>#REF!</v>
      </c>
      <c r="CS98" s="34" t="e">
        <f>AND(#REF!,"AAAAAH97/2A=")</f>
        <v>#REF!</v>
      </c>
      <c r="CT98" s="34" t="e">
        <f>AND(#REF!,"AAAAAH97/2E=")</f>
        <v>#REF!</v>
      </c>
      <c r="CU98" s="34" t="e">
        <f>IF(#REF!,"AAAAAH97/2I=",0)</f>
        <v>#REF!</v>
      </c>
      <c r="CV98" s="34" t="e">
        <f>AND(#REF!,"AAAAAH97/2M=")</f>
        <v>#REF!</v>
      </c>
      <c r="CW98" s="34" t="e">
        <f>AND(#REF!,"AAAAAH97/2Q=")</f>
        <v>#REF!</v>
      </c>
      <c r="CX98" s="34" t="e">
        <f>AND(#REF!,"AAAAAH97/2U=")</f>
        <v>#REF!</v>
      </c>
      <c r="CY98" s="34" t="e">
        <f>AND(#REF!,"AAAAAH97/2Y=")</f>
        <v>#REF!</v>
      </c>
      <c r="CZ98" s="34" t="e">
        <f>AND(#REF!,"AAAAAH97/2c=")</f>
        <v>#REF!</v>
      </c>
      <c r="DA98" s="34" t="e">
        <f>AND(#REF!,"AAAAAH97/2g=")</f>
        <v>#REF!</v>
      </c>
      <c r="DB98" s="34" t="e">
        <f>AND(#REF!,"AAAAAH97/2k=")</f>
        <v>#REF!</v>
      </c>
      <c r="DC98" s="34" t="e">
        <f>AND(#REF!,"AAAAAH97/2o=")</f>
        <v>#REF!</v>
      </c>
      <c r="DD98" s="34" t="e">
        <f>AND(#REF!,"AAAAAH97/2s=")</f>
        <v>#REF!</v>
      </c>
      <c r="DE98" s="34" t="e">
        <f>AND(#REF!,"AAAAAH97/2w=")</f>
        <v>#REF!</v>
      </c>
      <c r="DF98" s="34" t="e">
        <f>AND(#REF!,"AAAAAH97/20=")</f>
        <v>#REF!</v>
      </c>
      <c r="DG98" s="34" t="e">
        <f>AND(#REF!,"AAAAAH97/24=")</f>
        <v>#REF!</v>
      </c>
      <c r="DH98" s="34" t="e">
        <f>AND(#REF!,"AAAAAH97/28=")</f>
        <v>#REF!</v>
      </c>
      <c r="DI98" s="34" t="e">
        <f>AND(#REF!,"AAAAAH97/3A=")</f>
        <v>#REF!</v>
      </c>
      <c r="DJ98" s="34" t="e">
        <f>AND(#REF!,"AAAAAH97/3E=")</f>
        <v>#REF!</v>
      </c>
      <c r="DK98" s="34" t="e">
        <f>AND(#REF!,"AAAAAH97/3I=")</f>
        <v>#REF!</v>
      </c>
      <c r="DL98" s="34" t="e">
        <f>IF(#REF!,"AAAAAH97/3M=",0)</f>
        <v>#REF!</v>
      </c>
      <c r="DM98" s="34" t="e">
        <f>AND(#REF!,"AAAAAH97/3Q=")</f>
        <v>#REF!</v>
      </c>
      <c r="DN98" s="34" t="e">
        <f>AND(#REF!,"AAAAAH97/3U=")</f>
        <v>#REF!</v>
      </c>
      <c r="DO98" s="34" t="e">
        <f>AND(#REF!,"AAAAAH97/3Y=")</f>
        <v>#REF!</v>
      </c>
      <c r="DP98" s="34" t="e">
        <f>AND(#REF!,"AAAAAH97/3c=")</f>
        <v>#REF!</v>
      </c>
      <c r="DQ98" s="34" t="e">
        <f>AND(#REF!,"AAAAAH97/3g=")</f>
        <v>#REF!</v>
      </c>
      <c r="DR98" s="34" t="e">
        <f>AND(#REF!,"AAAAAH97/3k=")</f>
        <v>#REF!</v>
      </c>
      <c r="DS98" s="34" t="e">
        <f>AND(#REF!,"AAAAAH97/3o=")</f>
        <v>#REF!</v>
      </c>
      <c r="DT98" s="34" t="e">
        <f>AND(#REF!,"AAAAAH97/3s=")</f>
        <v>#REF!</v>
      </c>
      <c r="DU98" s="34" t="e">
        <f>AND(#REF!,"AAAAAH97/3w=")</f>
        <v>#REF!</v>
      </c>
      <c r="DV98" s="34" t="e">
        <f>AND(#REF!,"AAAAAH97/30=")</f>
        <v>#REF!</v>
      </c>
      <c r="DW98" s="34" t="e">
        <f>AND(#REF!,"AAAAAH97/34=")</f>
        <v>#REF!</v>
      </c>
      <c r="DX98" s="34" t="e">
        <f>AND(#REF!,"AAAAAH97/38=")</f>
        <v>#REF!</v>
      </c>
      <c r="DY98" s="34" t="e">
        <f>AND(#REF!,"AAAAAH97/4A=")</f>
        <v>#REF!</v>
      </c>
      <c r="DZ98" s="34" t="e">
        <f>AND(#REF!,"AAAAAH97/4E=")</f>
        <v>#REF!</v>
      </c>
      <c r="EA98" s="34" t="e">
        <f>AND(#REF!,"AAAAAH97/4I=")</f>
        <v>#REF!</v>
      </c>
      <c r="EB98" s="34" t="e">
        <f>AND(#REF!,"AAAAAH97/4M=")</f>
        <v>#REF!</v>
      </c>
      <c r="EC98" s="34" t="e">
        <f>IF(#REF!,"AAAAAH97/4Q=",0)</f>
        <v>#REF!</v>
      </c>
      <c r="ED98" s="34" t="e">
        <f>AND(#REF!,"AAAAAH97/4U=")</f>
        <v>#REF!</v>
      </c>
      <c r="EE98" s="34" t="e">
        <f>AND(#REF!,"AAAAAH97/4Y=")</f>
        <v>#REF!</v>
      </c>
      <c r="EF98" s="34" t="e">
        <f>AND(#REF!,"AAAAAH97/4c=")</f>
        <v>#REF!</v>
      </c>
      <c r="EG98" s="34" t="e">
        <f>AND(#REF!,"AAAAAH97/4g=")</f>
        <v>#REF!</v>
      </c>
      <c r="EH98" s="34" t="e">
        <f>AND(#REF!,"AAAAAH97/4k=")</f>
        <v>#REF!</v>
      </c>
      <c r="EI98" s="34" t="e">
        <f>AND(#REF!,"AAAAAH97/4o=")</f>
        <v>#REF!</v>
      </c>
      <c r="EJ98" s="34" t="e">
        <f>AND(#REF!,"AAAAAH97/4s=")</f>
        <v>#REF!</v>
      </c>
      <c r="EK98" s="34" t="e">
        <f>AND(#REF!,"AAAAAH97/4w=")</f>
        <v>#REF!</v>
      </c>
      <c r="EL98" s="34" t="e">
        <f>AND(#REF!,"AAAAAH97/40=")</f>
        <v>#REF!</v>
      </c>
      <c r="EM98" s="34" t="e">
        <f>AND(#REF!,"AAAAAH97/44=")</f>
        <v>#REF!</v>
      </c>
      <c r="EN98" s="34" t="e">
        <f>AND(#REF!,"AAAAAH97/48=")</f>
        <v>#REF!</v>
      </c>
      <c r="EO98" s="34" t="e">
        <f>AND(#REF!,"AAAAAH97/5A=")</f>
        <v>#REF!</v>
      </c>
      <c r="EP98" s="34" t="e">
        <f>AND(#REF!,"AAAAAH97/5E=")</f>
        <v>#REF!</v>
      </c>
      <c r="EQ98" s="34" t="e">
        <f>AND(#REF!,"AAAAAH97/5I=")</f>
        <v>#REF!</v>
      </c>
      <c r="ER98" s="34" t="e">
        <f>AND(#REF!,"AAAAAH97/5M=")</f>
        <v>#REF!</v>
      </c>
      <c r="ES98" s="34" t="e">
        <f>AND(#REF!,"AAAAAH97/5Q=")</f>
        <v>#REF!</v>
      </c>
      <c r="ET98" s="34" t="e">
        <f>IF(#REF!,"AAAAAH97/5U=",0)</f>
        <v>#REF!</v>
      </c>
      <c r="EU98" s="34" t="e">
        <f>AND(#REF!,"AAAAAH97/5Y=")</f>
        <v>#REF!</v>
      </c>
      <c r="EV98" s="34" t="e">
        <f>AND(#REF!,"AAAAAH97/5c=")</f>
        <v>#REF!</v>
      </c>
      <c r="EW98" s="34" t="e">
        <f>AND(#REF!,"AAAAAH97/5g=")</f>
        <v>#REF!</v>
      </c>
      <c r="EX98" s="34" t="e">
        <f>AND(#REF!,"AAAAAH97/5k=")</f>
        <v>#REF!</v>
      </c>
      <c r="EY98" s="34" t="e">
        <f>AND(#REF!,"AAAAAH97/5o=")</f>
        <v>#REF!</v>
      </c>
      <c r="EZ98" s="34" t="e">
        <f>AND(#REF!,"AAAAAH97/5s=")</f>
        <v>#REF!</v>
      </c>
      <c r="FA98" s="34" t="e">
        <f>AND(#REF!,"AAAAAH97/5w=")</f>
        <v>#REF!</v>
      </c>
      <c r="FB98" s="34" t="e">
        <f>AND(#REF!,"AAAAAH97/50=")</f>
        <v>#REF!</v>
      </c>
      <c r="FC98" s="34" t="e">
        <f>AND(#REF!,"AAAAAH97/54=")</f>
        <v>#REF!</v>
      </c>
      <c r="FD98" s="34" t="e">
        <f>AND(#REF!,"AAAAAH97/58=")</f>
        <v>#REF!</v>
      </c>
      <c r="FE98" s="34" t="e">
        <f>AND(#REF!,"AAAAAH97/6A=")</f>
        <v>#REF!</v>
      </c>
      <c r="FF98" s="34" t="e">
        <f>AND(#REF!,"AAAAAH97/6E=")</f>
        <v>#REF!</v>
      </c>
      <c r="FG98" s="34" t="e">
        <f>AND(#REF!,"AAAAAH97/6I=")</f>
        <v>#REF!</v>
      </c>
      <c r="FH98" s="34" t="e">
        <f>AND(#REF!,"AAAAAH97/6M=")</f>
        <v>#REF!</v>
      </c>
      <c r="FI98" s="34" t="e">
        <f>AND(#REF!,"AAAAAH97/6Q=")</f>
        <v>#REF!</v>
      </c>
      <c r="FJ98" s="34" t="e">
        <f>AND(#REF!,"AAAAAH97/6U=")</f>
        <v>#REF!</v>
      </c>
      <c r="FK98" s="34" t="e">
        <f>IF(#REF!,"AAAAAH97/6Y=",0)</f>
        <v>#REF!</v>
      </c>
      <c r="FL98" s="34" t="e">
        <f>AND(#REF!,"AAAAAH97/6c=")</f>
        <v>#REF!</v>
      </c>
      <c r="FM98" s="34" t="e">
        <f>AND(#REF!,"AAAAAH97/6g=")</f>
        <v>#REF!</v>
      </c>
      <c r="FN98" s="34" t="e">
        <f>AND(#REF!,"AAAAAH97/6k=")</f>
        <v>#REF!</v>
      </c>
      <c r="FO98" s="34" t="e">
        <f>AND(#REF!,"AAAAAH97/6o=")</f>
        <v>#REF!</v>
      </c>
      <c r="FP98" s="34" t="e">
        <f>AND(#REF!,"AAAAAH97/6s=")</f>
        <v>#REF!</v>
      </c>
      <c r="FQ98" s="34" t="e">
        <f>AND(#REF!,"AAAAAH97/6w=")</f>
        <v>#REF!</v>
      </c>
      <c r="FR98" s="34" t="e">
        <f>AND(#REF!,"AAAAAH97/60=")</f>
        <v>#REF!</v>
      </c>
      <c r="FS98" s="34" t="e">
        <f>AND(#REF!,"AAAAAH97/64=")</f>
        <v>#REF!</v>
      </c>
      <c r="FT98" s="34" t="e">
        <f>AND(#REF!,"AAAAAH97/68=")</f>
        <v>#REF!</v>
      </c>
      <c r="FU98" s="34" t="e">
        <f>AND(#REF!,"AAAAAH97/7A=")</f>
        <v>#REF!</v>
      </c>
      <c r="FV98" s="34" t="e">
        <f>AND(#REF!,"AAAAAH97/7E=")</f>
        <v>#REF!</v>
      </c>
      <c r="FW98" s="34" t="e">
        <f>AND(#REF!,"AAAAAH97/7I=")</f>
        <v>#REF!</v>
      </c>
      <c r="FX98" s="34" t="e">
        <f>AND(#REF!,"AAAAAH97/7M=")</f>
        <v>#REF!</v>
      </c>
      <c r="FY98" s="34" t="e">
        <f>AND(#REF!,"AAAAAH97/7Q=")</f>
        <v>#REF!</v>
      </c>
      <c r="FZ98" s="34" t="e">
        <f>AND(#REF!,"AAAAAH97/7U=")</f>
        <v>#REF!</v>
      </c>
      <c r="GA98" s="34" t="e">
        <f>AND(#REF!,"AAAAAH97/7Y=")</f>
        <v>#REF!</v>
      </c>
      <c r="GB98" s="34" t="e">
        <f>IF(#REF!,"AAAAAH97/7c=",0)</f>
        <v>#REF!</v>
      </c>
      <c r="GC98" s="34" t="e">
        <f>AND(#REF!,"AAAAAH97/7g=")</f>
        <v>#REF!</v>
      </c>
      <c r="GD98" s="34" t="e">
        <f>AND(#REF!,"AAAAAH97/7k=")</f>
        <v>#REF!</v>
      </c>
      <c r="GE98" s="34" t="e">
        <f>AND(#REF!,"AAAAAH97/7o=")</f>
        <v>#REF!</v>
      </c>
      <c r="GF98" s="34" t="e">
        <f>AND(#REF!,"AAAAAH97/7s=")</f>
        <v>#REF!</v>
      </c>
      <c r="GG98" s="34" t="e">
        <f>AND(#REF!,"AAAAAH97/7w=")</f>
        <v>#REF!</v>
      </c>
      <c r="GH98" s="34" t="e">
        <f>AND(#REF!,"AAAAAH97/70=")</f>
        <v>#REF!</v>
      </c>
      <c r="GI98" s="34" t="e">
        <f>AND(#REF!,"AAAAAH97/74=")</f>
        <v>#REF!</v>
      </c>
      <c r="GJ98" s="34" t="e">
        <f>AND(#REF!,"AAAAAH97/78=")</f>
        <v>#REF!</v>
      </c>
      <c r="GK98" s="34" t="e">
        <f>AND(#REF!,"AAAAAH97/8A=")</f>
        <v>#REF!</v>
      </c>
      <c r="GL98" s="34" t="e">
        <f>AND(#REF!,"AAAAAH97/8E=")</f>
        <v>#REF!</v>
      </c>
      <c r="GM98" s="34" t="e">
        <f>AND(#REF!,"AAAAAH97/8I=")</f>
        <v>#REF!</v>
      </c>
      <c r="GN98" s="34" t="e">
        <f>AND(#REF!,"AAAAAH97/8M=")</f>
        <v>#REF!</v>
      </c>
      <c r="GO98" s="34" t="e">
        <f>AND(#REF!,"AAAAAH97/8Q=")</f>
        <v>#REF!</v>
      </c>
      <c r="GP98" s="34" t="e">
        <f>AND(#REF!,"AAAAAH97/8U=")</f>
        <v>#REF!</v>
      </c>
      <c r="GQ98" s="34" t="e">
        <f>AND(#REF!,"AAAAAH97/8Y=")</f>
        <v>#REF!</v>
      </c>
      <c r="GR98" s="34" t="e">
        <f>AND(#REF!,"AAAAAH97/8c=")</f>
        <v>#REF!</v>
      </c>
      <c r="GS98" s="34" t="e">
        <f>IF(#REF!,"AAAAAH97/8g=",0)</f>
        <v>#REF!</v>
      </c>
      <c r="GT98" s="34" t="e">
        <f>AND(#REF!,"AAAAAH97/8k=")</f>
        <v>#REF!</v>
      </c>
      <c r="GU98" s="34" t="e">
        <f>AND(#REF!,"AAAAAH97/8o=")</f>
        <v>#REF!</v>
      </c>
      <c r="GV98" s="34" t="e">
        <f>AND(#REF!,"AAAAAH97/8s=")</f>
        <v>#REF!</v>
      </c>
      <c r="GW98" s="34" t="e">
        <f>AND(#REF!,"AAAAAH97/8w=")</f>
        <v>#REF!</v>
      </c>
      <c r="GX98" s="34" t="e">
        <f>AND(#REF!,"AAAAAH97/80=")</f>
        <v>#REF!</v>
      </c>
      <c r="GY98" s="34" t="e">
        <f>AND(#REF!,"AAAAAH97/84=")</f>
        <v>#REF!</v>
      </c>
      <c r="GZ98" s="34" t="e">
        <f>AND(#REF!,"AAAAAH97/88=")</f>
        <v>#REF!</v>
      </c>
      <c r="HA98" s="34" t="e">
        <f>AND(#REF!,"AAAAAH97/9A=")</f>
        <v>#REF!</v>
      </c>
      <c r="HB98" s="34" t="e">
        <f>AND(#REF!,"AAAAAH97/9E=")</f>
        <v>#REF!</v>
      </c>
      <c r="HC98" s="34" t="e">
        <f>AND(#REF!,"AAAAAH97/9I=")</f>
        <v>#REF!</v>
      </c>
      <c r="HD98" s="34" t="e">
        <f>AND(#REF!,"AAAAAH97/9M=")</f>
        <v>#REF!</v>
      </c>
      <c r="HE98" s="34" t="e">
        <f>AND(#REF!,"AAAAAH97/9Q=")</f>
        <v>#REF!</v>
      </c>
      <c r="HF98" s="34" t="e">
        <f>AND(#REF!,"AAAAAH97/9U=")</f>
        <v>#REF!</v>
      </c>
      <c r="HG98" s="34" t="e">
        <f>AND(#REF!,"AAAAAH97/9Y=")</f>
        <v>#REF!</v>
      </c>
      <c r="HH98" s="34" t="e">
        <f>AND(#REF!,"AAAAAH97/9c=")</f>
        <v>#REF!</v>
      </c>
      <c r="HI98" s="34" t="e">
        <f>AND(#REF!,"AAAAAH97/9g=")</f>
        <v>#REF!</v>
      </c>
      <c r="HJ98" s="34" t="e">
        <f>IF(#REF!,"AAAAAH97/9k=",0)</f>
        <v>#REF!</v>
      </c>
      <c r="HK98" s="34" t="e">
        <f>AND(#REF!,"AAAAAH97/9o=")</f>
        <v>#REF!</v>
      </c>
      <c r="HL98" s="34" t="e">
        <f>AND(#REF!,"AAAAAH97/9s=")</f>
        <v>#REF!</v>
      </c>
      <c r="HM98" s="34" t="e">
        <f>AND(#REF!,"AAAAAH97/9w=")</f>
        <v>#REF!</v>
      </c>
      <c r="HN98" s="34" t="e">
        <f>AND(#REF!,"AAAAAH97/90=")</f>
        <v>#REF!</v>
      </c>
      <c r="HO98" s="34" t="e">
        <f>AND(#REF!,"AAAAAH97/94=")</f>
        <v>#REF!</v>
      </c>
      <c r="HP98" s="34" t="e">
        <f>AND(#REF!,"AAAAAH97/98=")</f>
        <v>#REF!</v>
      </c>
      <c r="HQ98" s="34" t="e">
        <f>AND(#REF!,"AAAAAH97/+A=")</f>
        <v>#REF!</v>
      </c>
      <c r="HR98" s="34" t="e">
        <f>AND(#REF!,"AAAAAH97/+E=")</f>
        <v>#REF!</v>
      </c>
      <c r="HS98" s="34" t="e">
        <f>AND(#REF!,"AAAAAH97/+I=")</f>
        <v>#REF!</v>
      </c>
      <c r="HT98" s="34" t="e">
        <f>AND(#REF!,"AAAAAH97/+M=")</f>
        <v>#REF!</v>
      </c>
      <c r="HU98" s="34" t="e">
        <f>AND(#REF!,"AAAAAH97/+Q=")</f>
        <v>#REF!</v>
      </c>
      <c r="HV98" s="34" t="e">
        <f>AND(#REF!,"AAAAAH97/+U=")</f>
        <v>#REF!</v>
      </c>
      <c r="HW98" s="34" t="e">
        <f>AND(#REF!,"AAAAAH97/+Y=")</f>
        <v>#REF!</v>
      </c>
      <c r="HX98" s="34" t="e">
        <f>AND(#REF!,"AAAAAH97/+c=")</f>
        <v>#REF!</v>
      </c>
      <c r="HY98" s="34" t="e">
        <f>AND(#REF!,"AAAAAH97/+g=")</f>
        <v>#REF!</v>
      </c>
      <c r="HZ98" s="34" t="e">
        <f>AND(#REF!,"AAAAAH97/+k=")</f>
        <v>#REF!</v>
      </c>
      <c r="IA98" s="34" t="e">
        <f>IF(#REF!,"AAAAAH97/+o=",0)</f>
        <v>#REF!</v>
      </c>
      <c r="IB98" s="34" t="e">
        <f>AND(#REF!,"AAAAAH97/+s=")</f>
        <v>#REF!</v>
      </c>
      <c r="IC98" s="34" t="e">
        <f>AND(#REF!,"AAAAAH97/+w=")</f>
        <v>#REF!</v>
      </c>
      <c r="ID98" s="34" t="e">
        <f>AND(#REF!,"AAAAAH97/+0=")</f>
        <v>#REF!</v>
      </c>
      <c r="IE98" s="34" t="e">
        <f>AND(#REF!,"AAAAAH97/+4=")</f>
        <v>#REF!</v>
      </c>
      <c r="IF98" s="34" t="e">
        <f>AND(#REF!,"AAAAAH97/+8=")</f>
        <v>#REF!</v>
      </c>
      <c r="IG98" s="34" t="e">
        <f>AND(#REF!,"AAAAAH97//A=")</f>
        <v>#REF!</v>
      </c>
      <c r="IH98" s="34" t="e">
        <f>AND(#REF!,"AAAAAH97//E=")</f>
        <v>#REF!</v>
      </c>
      <c r="II98" s="34" t="e">
        <f>AND(#REF!,"AAAAAH97//I=")</f>
        <v>#REF!</v>
      </c>
      <c r="IJ98" s="34" t="e">
        <f>AND(#REF!,"AAAAAH97//M=")</f>
        <v>#REF!</v>
      </c>
      <c r="IK98" s="34" t="e">
        <f>AND(#REF!,"AAAAAH97//Q=")</f>
        <v>#REF!</v>
      </c>
      <c r="IL98" s="34" t="e">
        <f>AND(#REF!,"AAAAAH97//U=")</f>
        <v>#REF!</v>
      </c>
      <c r="IM98" s="34" t="e">
        <f>AND(#REF!,"AAAAAH97//Y=")</f>
        <v>#REF!</v>
      </c>
      <c r="IN98" s="34" t="e">
        <f>AND(#REF!,"AAAAAH97//c=")</f>
        <v>#REF!</v>
      </c>
      <c r="IO98" s="34" t="e">
        <f>AND(#REF!,"AAAAAH97//g=")</f>
        <v>#REF!</v>
      </c>
      <c r="IP98" s="34" t="e">
        <f>AND(#REF!,"AAAAAH97//k=")</f>
        <v>#REF!</v>
      </c>
      <c r="IQ98" s="34" t="e">
        <f>AND(#REF!,"AAAAAH97//o=")</f>
        <v>#REF!</v>
      </c>
      <c r="IR98" s="34" t="e">
        <f>IF(#REF!,"AAAAAH97//s=",0)</f>
        <v>#REF!</v>
      </c>
      <c r="IS98" s="34" t="e">
        <f>AND(#REF!,"AAAAAH97//w=")</f>
        <v>#REF!</v>
      </c>
      <c r="IT98" s="34" t="e">
        <f>AND(#REF!,"AAAAAH97//0=")</f>
        <v>#REF!</v>
      </c>
      <c r="IU98" s="34" t="e">
        <f>AND(#REF!,"AAAAAH97//4=")</f>
        <v>#REF!</v>
      </c>
      <c r="IV98" s="34" t="e">
        <f>AND(#REF!,"AAAAAH97//8=")</f>
        <v>#REF!</v>
      </c>
    </row>
    <row r="99" spans="1:256" ht="12.75" customHeight="1" x14ac:dyDescent="0.2">
      <c r="A99" s="34" t="e">
        <f>AND(#REF!,"AAAAAF9sbAA=")</f>
        <v>#REF!</v>
      </c>
      <c r="B99" s="34" t="e">
        <f>AND(#REF!,"AAAAAF9sbAE=")</f>
        <v>#REF!</v>
      </c>
      <c r="C99" s="34" t="e">
        <f>AND(#REF!,"AAAAAF9sbAI=")</f>
        <v>#REF!</v>
      </c>
      <c r="D99" s="34" t="e">
        <f>AND(#REF!,"AAAAAF9sbAM=")</f>
        <v>#REF!</v>
      </c>
      <c r="E99" s="34" t="e">
        <f>AND(#REF!,"AAAAAF9sbAQ=")</f>
        <v>#REF!</v>
      </c>
      <c r="F99" s="34" t="e">
        <f>AND(#REF!,"AAAAAF9sbAU=")</f>
        <v>#REF!</v>
      </c>
      <c r="G99" s="34" t="e">
        <f>AND(#REF!,"AAAAAF9sbAY=")</f>
        <v>#REF!</v>
      </c>
      <c r="H99" s="34" t="e">
        <f>AND(#REF!,"AAAAAF9sbAc=")</f>
        <v>#REF!</v>
      </c>
      <c r="I99" s="34" t="e">
        <f>AND(#REF!,"AAAAAF9sbAg=")</f>
        <v>#REF!</v>
      </c>
      <c r="J99" s="34" t="e">
        <f>AND(#REF!,"AAAAAF9sbAk=")</f>
        <v>#REF!</v>
      </c>
      <c r="K99" s="34" t="e">
        <f>AND(#REF!,"AAAAAF9sbAo=")</f>
        <v>#REF!</v>
      </c>
      <c r="L99" s="34" t="e">
        <f>AND(#REF!,"AAAAAF9sbAs=")</f>
        <v>#REF!</v>
      </c>
      <c r="M99" s="34" t="e">
        <f>IF(#REF!,"AAAAAF9sbAw=",0)</f>
        <v>#REF!</v>
      </c>
      <c r="N99" s="34" t="e">
        <f>AND(#REF!,"AAAAAF9sbA0=")</f>
        <v>#REF!</v>
      </c>
      <c r="O99" s="34" t="e">
        <f>AND(#REF!,"AAAAAF9sbA4=")</f>
        <v>#REF!</v>
      </c>
      <c r="P99" s="34" t="e">
        <f>AND(#REF!,"AAAAAF9sbA8=")</f>
        <v>#REF!</v>
      </c>
      <c r="Q99" s="34" t="e">
        <f>AND(#REF!,"AAAAAF9sbBA=")</f>
        <v>#REF!</v>
      </c>
      <c r="R99" s="34" t="e">
        <f>AND(#REF!,"AAAAAF9sbBE=")</f>
        <v>#REF!</v>
      </c>
      <c r="S99" s="34" t="e">
        <f>AND(#REF!,"AAAAAF9sbBI=")</f>
        <v>#REF!</v>
      </c>
      <c r="T99" s="34" t="e">
        <f>AND(#REF!,"AAAAAF9sbBM=")</f>
        <v>#REF!</v>
      </c>
      <c r="U99" s="34" t="e">
        <f>AND(#REF!,"AAAAAF9sbBQ=")</f>
        <v>#REF!</v>
      </c>
      <c r="V99" s="34" t="e">
        <f>AND(#REF!,"AAAAAF9sbBU=")</f>
        <v>#REF!</v>
      </c>
      <c r="W99" s="34" t="e">
        <f>AND(#REF!,"AAAAAF9sbBY=")</f>
        <v>#REF!</v>
      </c>
      <c r="X99" s="34" t="e">
        <f>AND(#REF!,"AAAAAF9sbBc=")</f>
        <v>#REF!</v>
      </c>
      <c r="Y99" s="34" t="e">
        <f>AND(#REF!,"AAAAAF9sbBg=")</f>
        <v>#REF!</v>
      </c>
      <c r="Z99" s="34" t="e">
        <f>AND(#REF!,"AAAAAF9sbBk=")</f>
        <v>#REF!</v>
      </c>
      <c r="AA99" s="34" t="e">
        <f>AND(#REF!,"AAAAAF9sbBo=")</f>
        <v>#REF!</v>
      </c>
      <c r="AB99" s="34" t="e">
        <f>AND(#REF!,"AAAAAF9sbBs=")</f>
        <v>#REF!</v>
      </c>
      <c r="AC99" s="34" t="e">
        <f>AND(#REF!,"AAAAAF9sbBw=")</f>
        <v>#REF!</v>
      </c>
      <c r="AD99" s="34" t="e">
        <f>IF(#REF!,"AAAAAF9sbB0=",0)</f>
        <v>#REF!</v>
      </c>
      <c r="AE99" s="34" t="e">
        <f>AND(#REF!,"AAAAAF9sbB4=")</f>
        <v>#REF!</v>
      </c>
      <c r="AF99" s="34" t="e">
        <f>AND(#REF!,"AAAAAF9sbB8=")</f>
        <v>#REF!</v>
      </c>
      <c r="AG99" s="34" t="e">
        <f>AND(#REF!,"AAAAAF9sbCA=")</f>
        <v>#REF!</v>
      </c>
      <c r="AH99" s="34" t="e">
        <f>AND(#REF!,"AAAAAF9sbCE=")</f>
        <v>#REF!</v>
      </c>
      <c r="AI99" s="34" t="e">
        <f>AND(#REF!,"AAAAAF9sbCI=")</f>
        <v>#REF!</v>
      </c>
      <c r="AJ99" s="34" t="e">
        <f>AND(#REF!,"AAAAAF9sbCM=")</f>
        <v>#REF!</v>
      </c>
      <c r="AK99" s="34" t="e">
        <f>AND(#REF!,"AAAAAF9sbCQ=")</f>
        <v>#REF!</v>
      </c>
      <c r="AL99" s="34" t="e">
        <f>AND(#REF!,"AAAAAF9sbCU=")</f>
        <v>#REF!</v>
      </c>
      <c r="AM99" s="34" t="e">
        <f>AND(#REF!,"AAAAAF9sbCY=")</f>
        <v>#REF!</v>
      </c>
      <c r="AN99" s="34" t="e">
        <f>AND(#REF!,"AAAAAF9sbCc=")</f>
        <v>#REF!</v>
      </c>
      <c r="AO99" s="34" t="e">
        <f>AND(#REF!,"AAAAAF9sbCg=")</f>
        <v>#REF!</v>
      </c>
      <c r="AP99" s="34" t="e">
        <f>AND(#REF!,"AAAAAF9sbCk=")</f>
        <v>#REF!</v>
      </c>
      <c r="AQ99" s="34" t="e">
        <f>AND(#REF!,"AAAAAF9sbCo=")</f>
        <v>#REF!</v>
      </c>
      <c r="AR99" s="34" t="e">
        <f>AND(#REF!,"AAAAAF9sbCs=")</f>
        <v>#REF!</v>
      </c>
      <c r="AS99" s="34" t="e">
        <f>AND(#REF!,"AAAAAF9sbCw=")</f>
        <v>#REF!</v>
      </c>
      <c r="AT99" s="34" t="e">
        <f>AND(#REF!,"AAAAAF9sbC0=")</f>
        <v>#REF!</v>
      </c>
      <c r="AU99" s="34" t="e">
        <f>IF(#REF!,"AAAAAF9sbC4=",0)</f>
        <v>#REF!</v>
      </c>
      <c r="AV99" s="34" t="e">
        <f>AND(#REF!,"AAAAAF9sbC8=")</f>
        <v>#REF!</v>
      </c>
      <c r="AW99" s="34" t="e">
        <f>AND(#REF!,"AAAAAF9sbDA=")</f>
        <v>#REF!</v>
      </c>
      <c r="AX99" s="34" t="e">
        <f>AND(#REF!,"AAAAAF9sbDE=")</f>
        <v>#REF!</v>
      </c>
      <c r="AY99" s="34" t="e">
        <f>AND(#REF!,"AAAAAF9sbDI=")</f>
        <v>#REF!</v>
      </c>
      <c r="AZ99" s="34" t="e">
        <f>AND(#REF!,"AAAAAF9sbDM=")</f>
        <v>#REF!</v>
      </c>
      <c r="BA99" s="34" t="e">
        <f>AND(#REF!,"AAAAAF9sbDQ=")</f>
        <v>#REF!</v>
      </c>
      <c r="BB99" s="34" t="e">
        <f>AND(#REF!,"AAAAAF9sbDU=")</f>
        <v>#REF!</v>
      </c>
      <c r="BC99" s="34" t="e">
        <f>AND(#REF!,"AAAAAF9sbDY=")</f>
        <v>#REF!</v>
      </c>
      <c r="BD99" s="34" t="e">
        <f>AND(#REF!,"AAAAAF9sbDc=")</f>
        <v>#REF!</v>
      </c>
      <c r="BE99" s="34" t="e">
        <f>AND(#REF!,"AAAAAF9sbDg=")</f>
        <v>#REF!</v>
      </c>
      <c r="BF99" s="34" t="e">
        <f>AND(#REF!,"AAAAAF9sbDk=")</f>
        <v>#REF!</v>
      </c>
      <c r="BG99" s="34" t="e">
        <f>AND(#REF!,"AAAAAF9sbDo=")</f>
        <v>#REF!</v>
      </c>
      <c r="BH99" s="34" t="e">
        <f>AND(#REF!,"AAAAAF9sbDs=")</f>
        <v>#REF!</v>
      </c>
      <c r="BI99" s="34" t="e">
        <f>AND(#REF!,"AAAAAF9sbDw=")</f>
        <v>#REF!</v>
      </c>
      <c r="BJ99" s="34" t="e">
        <f>AND(#REF!,"AAAAAF9sbD0=")</f>
        <v>#REF!</v>
      </c>
      <c r="BK99" s="34" t="e">
        <f>AND(#REF!,"AAAAAF9sbD4=")</f>
        <v>#REF!</v>
      </c>
      <c r="BL99" s="34" t="e">
        <f>IF(#REF!,"AAAAAF9sbD8=",0)</f>
        <v>#REF!</v>
      </c>
      <c r="BM99" s="34" t="e">
        <f>AND(#REF!,"AAAAAF9sbEA=")</f>
        <v>#REF!</v>
      </c>
      <c r="BN99" s="34" t="e">
        <f>AND(#REF!,"AAAAAF9sbEE=")</f>
        <v>#REF!</v>
      </c>
      <c r="BO99" s="34" t="e">
        <f>AND(#REF!,"AAAAAF9sbEI=")</f>
        <v>#REF!</v>
      </c>
      <c r="BP99" s="34" t="e">
        <f>AND(#REF!,"AAAAAF9sbEM=")</f>
        <v>#REF!</v>
      </c>
      <c r="BQ99" s="34" t="e">
        <f>AND(#REF!,"AAAAAF9sbEQ=")</f>
        <v>#REF!</v>
      </c>
      <c r="BR99" s="34" t="e">
        <f>AND(#REF!,"AAAAAF9sbEU=")</f>
        <v>#REF!</v>
      </c>
      <c r="BS99" s="34" t="e">
        <f>AND(#REF!,"AAAAAF9sbEY=")</f>
        <v>#REF!</v>
      </c>
      <c r="BT99" s="34" t="e">
        <f>AND(#REF!,"AAAAAF9sbEc=")</f>
        <v>#REF!</v>
      </c>
      <c r="BU99" s="34" t="e">
        <f>AND(#REF!,"AAAAAF9sbEg=")</f>
        <v>#REF!</v>
      </c>
      <c r="BV99" s="34" t="e">
        <f>AND(#REF!,"AAAAAF9sbEk=")</f>
        <v>#REF!</v>
      </c>
      <c r="BW99" s="34" t="e">
        <f>AND(#REF!,"AAAAAF9sbEo=")</f>
        <v>#REF!</v>
      </c>
      <c r="BX99" s="34" t="e">
        <f>AND(#REF!,"AAAAAF9sbEs=")</f>
        <v>#REF!</v>
      </c>
      <c r="BY99" s="34" t="e">
        <f>AND(#REF!,"AAAAAF9sbEw=")</f>
        <v>#REF!</v>
      </c>
      <c r="BZ99" s="34" t="e">
        <f>AND(#REF!,"AAAAAF9sbE0=")</f>
        <v>#REF!</v>
      </c>
      <c r="CA99" s="34" t="e">
        <f>AND(#REF!,"AAAAAF9sbE4=")</f>
        <v>#REF!</v>
      </c>
      <c r="CB99" s="34" t="e">
        <f>AND(#REF!,"AAAAAF9sbE8=")</f>
        <v>#REF!</v>
      </c>
      <c r="CC99" s="34" t="e">
        <f>IF(#REF!,"AAAAAF9sbFA=",0)</f>
        <v>#REF!</v>
      </c>
      <c r="CD99" s="34" t="e">
        <f>AND(#REF!,"AAAAAF9sbFE=")</f>
        <v>#REF!</v>
      </c>
      <c r="CE99" s="34" t="e">
        <f>AND(#REF!,"AAAAAF9sbFI=")</f>
        <v>#REF!</v>
      </c>
      <c r="CF99" s="34" t="e">
        <f>AND(#REF!,"AAAAAF9sbFM=")</f>
        <v>#REF!</v>
      </c>
      <c r="CG99" s="34" t="e">
        <f>AND(#REF!,"AAAAAF9sbFQ=")</f>
        <v>#REF!</v>
      </c>
      <c r="CH99" s="34" t="e">
        <f>AND(#REF!,"AAAAAF9sbFU=")</f>
        <v>#REF!</v>
      </c>
      <c r="CI99" s="34" t="e">
        <f>AND(#REF!,"AAAAAF9sbFY=")</f>
        <v>#REF!</v>
      </c>
      <c r="CJ99" s="34" t="e">
        <f>AND(#REF!,"AAAAAF9sbFc=")</f>
        <v>#REF!</v>
      </c>
      <c r="CK99" s="34" t="e">
        <f>AND(#REF!,"AAAAAF9sbFg=")</f>
        <v>#REF!</v>
      </c>
      <c r="CL99" s="34" t="e">
        <f>AND(#REF!,"AAAAAF9sbFk=")</f>
        <v>#REF!</v>
      </c>
      <c r="CM99" s="34" t="e">
        <f>AND(#REF!,"AAAAAF9sbFo=")</f>
        <v>#REF!</v>
      </c>
      <c r="CN99" s="34" t="e">
        <f>AND(#REF!,"AAAAAF9sbFs=")</f>
        <v>#REF!</v>
      </c>
      <c r="CO99" s="34" t="e">
        <f>AND(#REF!,"AAAAAF9sbFw=")</f>
        <v>#REF!</v>
      </c>
      <c r="CP99" s="34" t="e">
        <f>AND(#REF!,"AAAAAF9sbF0=")</f>
        <v>#REF!</v>
      </c>
      <c r="CQ99" s="34" t="e">
        <f>AND(#REF!,"AAAAAF9sbF4=")</f>
        <v>#REF!</v>
      </c>
      <c r="CR99" s="34" t="e">
        <f>AND(#REF!,"AAAAAF9sbF8=")</f>
        <v>#REF!</v>
      </c>
      <c r="CS99" s="34" t="e">
        <f>AND(#REF!,"AAAAAF9sbGA=")</f>
        <v>#REF!</v>
      </c>
      <c r="CT99" s="34" t="e">
        <f>IF(#REF!,"AAAAAF9sbGE=",0)</f>
        <v>#REF!</v>
      </c>
      <c r="CU99" s="34" t="e">
        <f>AND(#REF!,"AAAAAF9sbGI=")</f>
        <v>#REF!</v>
      </c>
      <c r="CV99" s="34" t="e">
        <f>AND(#REF!,"AAAAAF9sbGM=")</f>
        <v>#REF!</v>
      </c>
      <c r="CW99" s="34" t="e">
        <f>AND(#REF!,"AAAAAF9sbGQ=")</f>
        <v>#REF!</v>
      </c>
      <c r="CX99" s="34" t="e">
        <f>AND(#REF!,"AAAAAF9sbGU=")</f>
        <v>#REF!</v>
      </c>
      <c r="CY99" s="34" t="e">
        <f>AND(#REF!,"AAAAAF9sbGY=")</f>
        <v>#REF!</v>
      </c>
      <c r="CZ99" s="34" t="e">
        <f>AND(#REF!,"AAAAAF9sbGc=")</f>
        <v>#REF!</v>
      </c>
      <c r="DA99" s="34" t="e">
        <f>AND(#REF!,"AAAAAF9sbGg=")</f>
        <v>#REF!</v>
      </c>
      <c r="DB99" s="34" t="e">
        <f>AND(#REF!,"AAAAAF9sbGk=")</f>
        <v>#REF!</v>
      </c>
      <c r="DC99" s="34" t="e">
        <f>AND(#REF!,"AAAAAF9sbGo=")</f>
        <v>#REF!</v>
      </c>
      <c r="DD99" s="34" t="e">
        <f>AND(#REF!,"AAAAAF9sbGs=")</f>
        <v>#REF!</v>
      </c>
      <c r="DE99" s="34" t="e">
        <f>AND(#REF!,"AAAAAF9sbGw=")</f>
        <v>#REF!</v>
      </c>
      <c r="DF99" s="34" t="e">
        <f>AND(#REF!,"AAAAAF9sbG0=")</f>
        <v>#REF!</v>
      </c>
      <c r="DG99" s="34" t="e">
        <f>AND(#REF!,"AAAAAF9sbG4=")</f>
        <v>#REF!</v>
      </c>
      <c r="DH99" s="34" t="e">
        <f>AND(#REF!,"AAAAAF9sbG8=")</f>
        <v>#REF!</v>
      </c>
      <c r="DI99" s="34" t="e">
        <f>AND(#REF!,"AAAAAF9sbHA=")</f>
        <v>#REF!</v>
      </c>
      <c r="DJ99" s="34" t="e">
        <f>AND(#REF!,"AAAAAF9sbHE=")</f>
        <v>#REF!</v>
      </c>
      <c r="DK99" s="34" t="e">
        <f>IF(#REF!,"AAAAAF9sbHI=",0)</f>
        <v>#REF!</v>
      </c>
      <c r="DL99" s="34" t="e">
        <f>AND(#REF!,"AAAAAF9sbHM=")</f>
        <v>#REF!</v>
      </c>
      <c r="DM99" s="34" t="e">
        <f>AND(#REF!,"AAAAAF9sbHQ=")</f>
        <v>#REF!</v>
      </c>
      <c r="DN99" s="34" t="e">
        <f>AND(#REF!,"AAAAAF9sbHU=")</f>
        <v>#REF!</v>
      </c>
      <c r="DO99" s="34" t="e">
        <f>AND(#REF!,"AAAAAF9sbHY=")</f>
        <v>#REF!</v>
      </c>
      <c r="DP99" s="34" t="e">
        <f>AND(#REF!,"AAAAAF9sbHc=")</f>
        <v>#REF!</v>
      </c>
      <c r="DQ99" s="34" t="e">
        <f>AND(#REF!,"AAAAAF9sbHg=")</f>
        <v>#REF!</v>
      </c>
      <c r="DR99" s="34" t="e">
        <f>AND(#REF!,"AAAAAF9sbHk=")</f>
        <v>#REF!</v>
      </c>
      <c r="DS99" s="34" t="e">
        <f>AND(#REF!,"AAAAAF9sbHo=")</f>
        <v>#REF!</v>
      </c>
      <c r="DT99" s="34" t="e">
        <f>AND(#REF!,"AAAAAF9sbHs=")</f>
        <v>#REF!</v>
      </c>
      <c r="DU99" s="34" t="e">
        <f>AND(#REF!,"AAAAAF9sbHw=")</f>
        <v>#REF!</v>
      </c>
      <c r="DV99" s="34" t="e">
        <f>AND(#REF!,"AAAAAF9sbH0=")</f>
        <v>#REF!</v>
      </c>
      <c r="DW99" s="34" t="e">
        <f>AND(#REF!,"AAAAAF9sbH4=")</f>
        <v>#REF!</v>
      </c>
      <c r="DX99" s="34" t="e">
        <f>AND(#REF!,"AAAAAF9sbH8=")</f>
        <v>#REF!</v>
      </c>
      <c r="DY99" s="34" t="e">
        <f>AND(#REF!,"AAAAAF9sbIA=")</f>
        <v>#REF!</v>
      </c>
      <c r="DZ99" s="34" t="e">
        <f>AND(#REF!,"AAAAAF9sbIE=")</f>
        <v>#REF!</v>
      </c>
      <c r="EA99" s="34" t="e">
        <f>AND(#REF!,"AAAAAF9sbII=")</f>
        <v>#REF!</v>
      </c>
      <c r="EB99" s="34" t="e">
        <f>IF(#REF!,"AAAAAF9sbIM=",0)</f>
        <v>#REF!</v>
      </c>
      <c r="EC99" s="34" t="e">
        <f>AND(#REF!,"AAAAAF9sbIQ=")</f>
        <v>#REF!</v>
      </c>
      <c r="ED99" s="34" t="e">
        <f>AND(#REF!,"AAAAAF9sbIU=")</f>
        <v>#REF!</v>
      </c>
      <c r="EE99" s="34" t="e">
        <f>AND(#REF!,"AAAAAF9sbIY=")</f>
        <v>#REF!</v>
      </c>
      <c r="EF99" s="34" t="e">
        <f>AND(#REF!,"AAAAAF9sbIc=")</f>
        <v>#REF!</v>
      </c>
      <c r="EG99" s="34" t="e">
        <f>AND(#REF!,"AAAAAF9sbIg=")</f>
        <v>#REF!</v>
      </c>
      <c r="EH99" s="34" t="e">
        <f>AND(#REF!,"AAAAAF9sbIk=")</f>
        <v>#REF!</v>
      </c>
      <c r="EI99" s="34" t="e">
        <f>AND(#REF!,"AAAAAF9sbIo=")</f>
        <v>#REF!</v>
      </c>
      <c r="EJ99" s="34" t="e">
        <f>AND(#REF!,"AAAAAF9sbIs=")</f>
        <v>#REF!</v>
      </c>
      <c r="EK99" s="34" t="e">
        <f>AND(#REF!,"AAAAAF9sbIw=")</f>
        <v>#REF!</v>
      </c>
      <c r="EL99" s="34" t="e">
        <f>AND(#REF!,"AAAAAF9sbI0=")</f>
        <v>#REF!</v>
      </c>
      <c r="EM99" s="34" t="e">
        <f>AND(#REF!,"AAAAAF9sbI4=")</f>
        <v>#REF!</v>
      </c>
      <c r="EN99" s="34" t="e">
        <f>AND(#REF!,"AAAAAF9sbI8=")</f>
        <v>#REF!</v>
      </c>
      <c r="EO99" s="34" t="e">
        <f>AND(#REF!,"AAAAAF9sbJA=")</f>
        <v>#REF!</v>
      </c>
      <c r="EP99" s="34" t="e">
        <f>AND(#REF!,"AAAAAF9sbJE=")</f>
        <v>#REF!</v>
      </c>
      <c r="EQ99" s="34" t="e">
        <f>AND(#REF!,"AAAAAF9sbJI=")</f>
        <v>#REF!</v>
      </c>
      <c r="ER99" s="34" t="e">
        <f>AND(#REF!,"AAAAAF9sbJM=")</f>
        <v>#REF!</v>
      </c>
      <c r="ES99" s="34" t="e">
        <f>IF(#REF!,"AAAAAF9sbJQ=",0)</f>
        <v>#REF!</v>
      </c>
      <c r="ET99" s="34" t="e">
        <f>AND(#REF!,"AAAAAF9sbJU=")</f>
        <v>#REF!</v>
      </c>
      <c r="EU99" s="34" t="e">
        <f>AND(#REF!,"AAAAAF9sbJY=")</f>
        <v>#REF!</v>
      </c>
      <c r="EV99" s="34" t="e">
        <f>AND(#REF!,"AAAAAF9sbJc=")</f>
        <v>#REF!</v>
      </c>
      <c r="EW99" s="34" t="e">
        <f>AND(#REF!,"AAAAAF9sbJg=")</f>
        <v>#REF!</v>
      </c>
      <c r="EX99" s="34" t="e">
        <f>AND(#REF!,"AAAAAF9sbJk=")</f>
        <v>#REF!</v>
      </c>
      <c r="EY99" s="34" t="e">
        <f>AND(#REF!,"AAAAAF9sbJo=")</f>
        <v>#REF!</v>
      </c>
      <c r="EZ99" s="34" t="e">
        <f>AND(#REF!,"AAAAAF9sbJs=")</f>
        <v>#REF!</v>
      </c>
      <c r="FA99" s="34" t="e">
        <f>AND(#REF!,"AAAAAF9sbJw=")</f>
        <v>#REF!</v>
      </c>
      <c r="FB99" s="34" t="e">
        <f>AND(#REF!,"AAAAAF9sbJ0=")</f>
        <v>#REF!</v>
      </c>
      <c r="FC99" s="34" t="e">
        <f>AND(#REF!,"AAAAAF9sbJ4=")</f>
        <v>#REF!</v>
      </c>
      <c r="FD99" s="34" t="e">
        <f>AND(#REF!,"AAAAAF9sbJ8=")</f>
        <v>#REF!</v>
      </c>
      <c r="FE99" s="34" t="e">
        <f>AND(#REF!,"AAAAAF9sbKA=")</f>
        <v>#REF!</v>
      </c>
      <c r="FF99" s="34" t="e">
        <f>AND(#REF!,"AAAAAF9sbKE=")</f>
        <v>#REF!</v>
      </c>
      <c r="FG99" s="34" t="e">
        <f>AND(#REF!,"AAAAAF9sbKI=")</f>
        <v>#REF!</v>
      </c>
      <c r="FH99" s="34" t="e">
        <f>AND(#REF!,"AAAAAF9sbKM=")</f>
        <v>#REF!</v>
      </c>
      <c r="FI99" s="34" t="e">
        <f>AND(#REF!,"AAAAAF9sbKQ=")</f>
        <v>#REF!</v>
      </c>
      <c r="FJ99" s="34" t="e">
        <f>IF(#REF!,"AAAAAF9sbKU=",0)</f>
        <v>#REF!</v>
      </c>
      <c r="FK99" s="34" t="e">
        <f>AND(#REF!,"AAAAAF9sbKY=")</f>
        <v>#REF!</v>
      </c>
      <c r="FL99" s="34" t="e">
        <f>AND(#REF!,"AAAAAF9sbKc=")</f>
        <v>#REF!</v>
      </c>
      <c r="FM99" s="34" t="e">
        <f>AND(#REF!,"AAAAAF9sbKg=")</f>
        <v>#REF!</v>
      </c>
      <c r="FN99" s="34" t="e">
        <f>AND(#REF!,"AAAAAF9sbKk=")</f>
        <v>#REF!</v>
      </c>
      <c r="FO99" s="34" t="e">
        <f>AND(#REF!,"AAAAAF9sbKo=")</f>
        <v>#REF!</v>
      </c>
      <c r="FP99" s="34" t="e">
        <f>AND(#REF!,"AAAAAF9sbKs=")</f>
        <v>#REF!</v>
      </c>
      <c r="FQ99" s="34" t="e">
        <f>AND(#REF!,"AAAAAF9sbKw=")</f>
        <v>#REF!</v>
      </c>
      <c r="FR99" s="34" t="e">
        <f>AND(#REF!,"AAAAAF9sbK0=")</f>
        <v>#REF!</v>
      </c>
      <c r="FS99" s="34" t="e">
        <f>AND(#REF!,"AAAAAF9sbK4=")</f>
        <v>#REF!</v>
      </c>
      <c r="FT99" s="34" t="e">
        <f>AND(#REF!,"AAAAAF9sbK8=")</f>
        <v>#REF!</v>
      </c>
      <c r="FU99" s="34" t="e">
        <f>AND(#REF!,"AAAAAF9sbLA=")</f>
        <v>#REF!</v>
      </c>
      <c r="FV99" s="34" t="e">
        <f>AND(#REF!,"AAAAAF9sbLE=")</f>
        <v>#REF!</v>
      </c>
      <c r="FW99" s="34" t="e">
        <f>AND(#REF!,"AAAAAF9sbLI=")</f>
        <v>#REF!</v>
      </c>
      <c r="FX99" s="34" t="e">
        <f>AND(#REF!,"AAAAAF9sbLM=")</f>
        <v>#REF!</v>
      </c>
      <c r="FY99" s="34" t="e">
        <f>AND(#REF!,"AAAAAF9sbLQ=")</f>
        <v>#REF!</v>
      </c>
      <c r="FZ99" s="34" t="e">
        <f>AND(#REF!,"AAAAAF9sbLU=")</f>
        <v>#REF!</v>
      </c>
      <c r="GA99" s="34" t="e">
        <f>IF(#REF!,"AAAAAF9sbLY=",0)</f>
        <v>#REF!</v>
      </c>
      <c r="GB99" s="34" t="e">
        <f>AND(#REF!,"AAAAAF9sbLc=")</f>
        <v>#REF!</v>
      </c>
      <c r="GC99" s="34" t="e">
        <f>AND(#REF!,"AAAAAF9sbLg=")</f>
        <v>#REF!</v>
      </c>
      <c r="GD99" s="34" t="e">
        <f>AND(#REF!,"AAAAAF9sbLk=")</f>
        <v>#REF!</v>
      </c>
      <c r="GE99" s="34" t="e">
        <f>AND(#REF!,"AAAAAF9sbLo=")</f>
        <v>#REF!</v>
      </c>
      <c r="GF99" s="34" t="e">
        <f>AND(#REF!,"AAAAAF9sbLs=")</f>
        <v>#REF!</v>
      </c>
      <c r="GG99" s="34" t="e">
        <f>AND(#REF!,"AAAAAF9sbLw=")</f>
        <v>#REF!</v>
      </c>
      <c r="GH99" s="34" t="e">
        <f>AND(#REF!,"AAAAAF9sbL0=")</f>
        <v>#REF!</v>
      </c>
      <c r="GI99" s="34" t="e">
        <f>AND(#REF!,"AAAAAF9sbL4=")</f>
        <v>#REF!</v>
      </c>
      <c r="GJ99" s="34" t="e">
        <f>AND(#REF!,"AAAAAF9sbL8=")</f>
        <v>#REF!</v>
      </c>
      <c r="GK99" s="34" t="e">
        <f>AND(#REF!,"AAAAAF9sbMA=")</f>
        <v>#REF!</v>
      </c>
      <c r="GL99" s="34" t="e">
        <f>AND(#REF!,"AAAAAF9sbME=")</f>
        <v>#REF!</v>
      </c>
      <c r="GM99" s="34" t="e">
        <f>AND(#REF!,"AAAAAF9sbMI=")</f>
        <v>#REF!</v>
      </c>
      <c r="GN99" s="34" t="e">
        <f>AND(#REF!,"AAAAAF9sbMM=")</f>
        <v>#REF!</v>
      </c>
      <c r="GO99" s="34" t="e">
        <f>AND(#REF!,"AAAAAF9sbMQ=")</f>
        <v>#REF!</v>
      </c>
      <c r="GP99" s="34" t="e">
        <f>AND(#REF!,"AAAAAF9sbMU=")</f>
        <v>#REF!</v>
      </c>
      <c r="GQ99" s="34" t="e">
        <f>AND(#REF!,"AAAAAF9sbMY=")</f>
        <v>#REF!</v>
      </c>
      <c r="GR99" s="34" t="e">
        <f>IF(#REF!,"AAAAAF9sbMc=",0)</f>
        <v>#REF!</v>
      </c>
      <c r="GS99" s="34" t="e">
        <f>AND(#REF!,"AAAAAF9sbMg=")</f>
        <v>#REF!</v>
      </c>
      <c r="GT99" s="34" t="e">
        <f>AND(#REF!,"AAAAAF9sbMk=")</f>
        <v>#REF!</v>
      </c>
      <c r="GU99" s="34" t="e">
        <f>AND(#REF!,"AAAAAF9sbMo=")</f>
        <v>#REF!</v>
      </c>
      <c r="GV99" s="34" t="e">
        <f>AND(#REF!,"AAAAAF9sbMs=")</f>
        <v>#REF!</v>
      </c>
      <c r="GW99" s="34" t="e">
        <f>AND(#REF!,"AAAAAF9sbMw=")</f>
        <v>#REF!</v>
      </c>
      <c r="GX99" s="34" t="e">
        <f>AND(#REF!,"AAAAAF9sbM0=")</f>
        <v>#REF!</v>
      </c>
      <c r="GY99" s="34" t="e">
        <f>AND(#REF!,"AAAAAF9sbM4=")</f>
        <v>#REF!</v>
      </c>
      <c r="GZ99" s="34" t="e">
        <f>AND(#REF!,"AAAAAF9sbM8=")</f>
        <v>#REF!</v>
      </c>
      <c r="HA99" s="34" t="e">
        <f>AND(#REF!,"AAAAAF9sbNA=")</f>
        <v>#REF!</v>
      </c>
      <c r="HB99" s="34" t="e">
        <f>AND(#REF!,"AAAAAF9sbNE=")</f>
        <v>#REF!</v>
      </c>
      <c r="HC99" s="34" t="e">
        <f>AND(#REF!,"AAAAAF9sbNI=")</f>
        <v>#REF!</v>
      </c>
      <c r="HD99" s="34" t="e">
        <f>AND(#REF!,"AAAAAF9sbNM=")</f>
        <v>#REF!</v>
      </c>
      <c r="HE99" s="34" t="e">
        <f>AND(#REF!,"AAAAAF9sbNQ=")</f>
        <v>#REF!</v>
      </c>
      <c r="HF99" s="34" t="e">
        <f>AND(#REF!,"AAAAAF9sbNU=")</f>
        <v>#REF!</v>
      </c>
      <c r="HG99" s="34" t="e">
        <f>AND(#REF!,"AAAAAF9sbNY=")</f>
        <v>#REF!</v>
      </c>
      <c r="HH99" s="34" t="e">
        <f>AND(#REF!,"AAAAAF9sbNc=")</f>
        <v>#REF!</v>
      </c>
      <c r="HI99" s="34" t="e">
        <f>IF(#REF!,"AAAAAF9sbNg=",0)</f>
        <v>#REF!</v>
      </c>
      <c r="HJ99" s="34" t="e">
        <f>AND(#REF!,"AAAAAF9sbNk=")</f>
        <v>#REF!</v>
      </c>
      <c r="HK99" s="34" t="e">
        <f>AND(#REF!,"AAAAAF9sbNo=")</f>
        <v>#REF!</v>
      </c>
      <c r="HL99" s="34" t="e">
        <f>AND(#REF!,"AAAAAF9sbNs=")</f>
        <v>#REF!</v>
      </c>
      <c r="HM99" s="34" t="e">
        <f>AND(#REF!,"AAAAAF9sbNw=")</f>
        <v>#REF!</v>
      </c>
      <c r="HN99" s="34" t="e">
        <f>AND(#REF!,"AAAAAF9sbN0=")</f>
        <v>#REF!</v>
      </c>
      <c r="HO99" s="34" t="e">
        <f>AND(#REF!,"AAAAAF9sbN4=")</f>
        <v>#REF!</v>
      </c>
      <c r="HP99" s="34" t="e">
        <f>AND(#REF!,"AAAAAF9sbN8=")</f>
        <v>#REF!</v>
      </c>
      <c r="HQ99" s="34" t="e">
        <f>AND(#REF!,"AAAAAF9sbOA=")</f>
        <v>#REF!</v>
      </c>
      <c r="HR99" s="34" t="e">
        <f>AND(#REF!,"AAAAAF9sbOE=")</f>
        <v>#REF!</v>
      </c>
      <c r="HS99" s="34" t="e">
        <f>AND(#REF!,"AAAAAF9sbOI=")</f>
        <v>#REF!</v>
      </c>
      <c r="HT99" s="34" t="e">
        <f>AND(#REF!,"AAAAAF9sbOM=")</f>
        <v>#REF!</v>
      </c>
      <c r="HU99" s="34" t="e">
        <f>AND(#REF!,"AAAAAF9sbOQ=")</f>
        <v>#REF!</v>
      </c>
      <c r="HV99" s="34" t="e">
        <f>AND(#REF!,"AAAAAF9sbOU=")</f>
        <v>#REF!</v>
      </c>
      <c r="HW99" s="34" t="e">
        <f>AND(#REF!,"AAAAAF9sbOY=")</f>
        <v>#REF!</v>
      </c>
      <c r="HX99" s="34" t="e">
        <f>AND(#REF!,"AAAAAF9sbOc=")</f>
        <v>#REF!</v>
      </c>
      <c r="HY99" s="34" t="e">
        <f>AND(#REF!,"AAAAAF9sbOg=")</f>
        <v>#REF!</v>
      </c>
      <c r="HZ99" s="34" t="e">
        <f>IF(#REF!,"AAAAAF9sbOk=",0)</f>
        <v>#REF!</v>
      </c>
      <c r="IA99" s="34" t="e">
        <f>AND(#REF!,"AAAAAF9sbOo=")</f>
        <v>#REF!</v>
      </c>
      <c r="IB99" s="34" t="e">
        <f>AND(#REF!,"AAAAAF9sbOs=")</f>
        <v>#REF!</v>
      </c>
      <c r="IC99" s="34" t="e">
        <f>AND(#REF!,"AAAAAF9sbOw=")</f>
        <v>#REF!</v>
      </c>
      <c r="ID99" s="34" t="e">
        <f>AND(#REF!,"AAAAAF9sbO0=")</f>
        <v>#REF!</v>
      </c>
      <c r="IE99" s="34" t="e">
        <f>AND(#REF!,"AAAAAF9sbO4=")</f>
        <v>#REF!</v>
      </c>
      <c r="IF99" s="34" t="e">
        <f>AND(#REF!,"AAAAAF9sbO8=")</f>
        <v>#REF!</v>
      </c>
      <c r="IG99" s="34" t="e">
        <f>AND(#REF!,"AAAAAF9sbPA=")</f>
        <v>#REF!</v>
      </c>
      <c r="IH99" s="34" t="e">
        <f>AND(#REF!,"AAAAAF9sbPE=")</f>
        <v>#REF!</v>
      </c>
      <c r="II99" s="34" t="e">
        <f>AND(#REF!,"AAAAAF9sbPI=")</f>
        <v>#REF!</v>
      </c>
      <c r="IJ99" s="34" t="e">
        <f>AND(#REF!,"AAAAAF9sbPM=")</f>
        <v>#REF!</v>
      </c>
      <c r="IK99" s="34" t="e">
        <f>AND(#REF!,"AAAAAF9sbPQ=")</f>
        <v>#REF!</v>
      </c>
      <c r="IL99" s="34" t="e">
        <f>AND(#REF!,"AAAAAF9sbPU=")</f>
        <v>#REF!</v>
      </c>
      <c r="IM99" s="34" t="e">
        <f>AND(#REF!,"AAAAAF9sbPY=")</f>
        <v>#REF!</v>
      </c>
      <c r="IN99" s="34" t="e">
        <f>AND(#REF!,"AAAAAF9sbPc=")</f>
        <v>#REF!</v>
      </c>
      <c r="IO99" s="34" t="e">
        <f>AND(#REF!,"AAAAAF9sbPg=")</f>
        <v>#REF!</v>
      </c>
      <c r="IP99" s="34" t="e">
        <f>AND(#REF!,"AAAAAF9sbPk=")</f>
        <v>#REF!</v>
      </c>
      <c r="IQ99" s="34" t="e">
        <f>IF(#REF!,"AAAAAF9sbPo=",0)</f>
        <v>#REF!</v>
      </c>
      <c r="IR99" s="34" t="e">
        <f>AND(#REF!,"AAAAAF9sbPs=")</f>
        <v>#REF!</v>
      </c>
      <c r="IS99" s="34" t="e">
        <f>AND(#REF!,"AAAAAF9sbPw=")</f>
        <v>#REF!</v>
      </c>
      <c r="IT99" s="34" t="e">
        <f>AND(#REF!,"AAAAAF9sbP0=")</f>
        <v>#REF!</v>
      </c>
      <c r="IU99" s="34" t="e">
        <f>AND(#REF!,"AAAAAF9sbP4=")</f>
        <v>#REF!</v>
      </c>
      <c r="IV99" s="34" t="e">
        <f>AND(#REF!,"AAAAAF9sbP8=")</f>
        <v>#REF!</v>
      </c>
    </row>
    <row r="100" spans="1:256" ht="12.75" customHeight="1" x14ac:dyDescent="0.2">
      <c r="A100" s="34" t="e">
        <f>AND(#REF!,"AAAAAD+2zwA=")</f>
        <v>#REF!</v>
      </c>
      <c r="B100" s="34" t="e">
        <f>AND(#REF!,"AAAAAD+2zwE=")</f>
        <v>#REF!</v>
      </c>
      <c r="C100" s="34" t="e">
        <f>AND(#REF!,"AAAAAD+2zwI=")</f>
        <v>#REF!</v>
      </c>
      <c r="D100" s="34" t="e">
        <f>AND(#REF!,"AAAAAD+2zwM=")</f>
        <v>#REF!</v>
      </c>
      <c r="E100" s="34" t="e">
        <f>AND(#REF!,"AAAAAD+2zwQ=")</f>
        <v>#REF!</v>
      </c>
      <c r="F100" s="34" t="e">
        <f>AND(#REF!,"AAAAAD+2zwU=")</f>
        <v>#REF!</v>
      </c>
      <c r="G100" s="34" t="e">
        <f>AND(#REF!,"AAAAAD+2zwY=")</f>
        <v>#REF!</v>
      </c>
      <c r="H100" s="34" t="e">
        <f>AND(#REF!,"AAAAAD+2zwc=")</f>
        <v>#REF!</v>
      </c>
      <c r="I100" s="34" t="e">
        <f>AND(#REF!,"AAAAAD+2zwg=")</f>
        <v>#REF!</v>
      </c>
      <c r="J100" s="34" t="e">
        <f>AND(#REF!,"AAAAAD+2zwk=")</f>
        <v>#REF!</v>
      </c>
      <c r="K100" s="34" t="e">
        <f>AND(#REF!,"AAAAAD+2zwo=")</f>
        <v>#REF!</v>
      </c>
      <c r="L100" s="34" t="e">
        <f>IF(#REF!,"AAAAAD+2zws=",0)</f>
        <v>#REF!</v>
      </c>
      <c r="M100" s="34" t="e">
        <f>AND(#REF!,"AAAAAD+2zww=")</f>
        <v>#REF!</v>
      </c>
      <c r="N100" s="34" t="e">
        <f>AND(#REF!,"AAAAAD+2zw0=")</f>
        <v>#REF!</v>
      </c>
      <c r="O100" s="34" t="e">
        <f>AND(#REF!,"AAAAAD+2zw4=")</f>
        <v>#REF!</v>
      </c>
      <c r="P100" s="34" t="e">
        <f>AND(#REF!,"AAAAAD+2zw8=")</f>
        <v>#REF!</v>
      </c>
      <c r="Q100" s="34" t="e">
        <f>AND(#REF!,"AAAAAD+2zxA=")</f>
        <v>#REF!</v>
      </c>
      <c r="R100" s="34" t="e">
        <f>AND(#REF!,"AAAAAD+2zxE=")</f>
        <v>#REF!</v>
      </c>
      <c r="S100" s="34" t="e">
        <f>AND(#REF!,"AAAAAD+2zxI=")</f>
        <v>#REF!</v>
      </c>
      <c r="T100" s="34" t="e">
        <f>AND(#REF!,"AAAAAD+2zxM=")</f>
        <v>#REF!</v>
      </c>
      <c r="U100" s="34" t="e">
        <f>AND(#REF!,"AAAAAD+2zxQ=")</f>
        <v>#REF!</v>
      </c>
      <c r="V100" s="34" t="e">
        <f>AND(#REF!,"AAAAAD+2zxU=")</f>
        <v>#REF!</v>
      </c>
      <c r="W100" s="34" t="e">
        <f>AND(#REF!,"AAAAAD+2zxY=")</f>
        <v>#REF!</v>
      </c>
      <c r="X100" s="34" t="e">
        <f>AND(#REF!,"AAAAAD+2zxc=")</f>
        <v>#REF!</v>
      </c>
      <c r="Y100" s="34" t="e">
        <f>AND(#REF!,"AAAAAD+2zxg=")</f>
        <v>#REF!</v>
      </c>
      <c r="Z100" s="34" t="e">
        <f>AND(#REF!,"AAAAAD+2zxk=")</f>
        <v>#REF!</v>
      </c>
      <c r="AA100" s="34" t="e">
        <f>AND(#REF!,"AAAAAD+2zxo=")</f>
        <v>#REF!</v>
      </c>
      <c r="AB100" s="34" t="e">
        <f>AND(#REF!,"AAAAAD+2zxs=")</f>
        <v>#REF!</v>
      </c>
      <c r="AC100" s="34" t="e">
        <f>IF(#REF!,"AAAAAD+2zxw=",0)</f>
        <v>#REF!</v>
      </c>
      <c r="AD100" s="34" t="e">
        <f>AND(#REF!,"AAAAAD+2zx0=")</f>
        <v>#REF!</v>
      </c>
      <c r="AE100" s="34" t="e">
        <f>AND(#REF!,"AAAAAD+2zx4=")</f>
        <v>#REF!</v>
      </c>
      <c r="AF100" s="34" t="e">
        <f>AND(#REF!,"AAAAAD+2zx8=")</f>
        <v>#REF!</v>
      </c>
      <c r="AG100" s="34" t="e">
        <f>AND(#REF!,"AAAAAD+2zyA=")</f>
        <v>#REF!</v>
      </c>
      <c r="AH100" s="34" t="e">
        <f>AND(#REF!,"AAAAAD+2zyE=")</f>
        <v>#REF!</v>
      </c>
      <c r="AI100" s="34" t="e">
        <f>AND(#REF!,"AAAAAD+2zyI=")</f>
        <v>#REF!</v>
      </c>
      <c r="AJ100" s="34" t="e">
        <f>AND(#REF!,"AAAAAD+2zyM=")</f>
        <v>#REF!</v>
      </c>
      <c r="AK100" s="34" t="e">
        <f>AND(#REF!,"AAAAAD+2zyQ=")</f>
        <v>#REF!</v>
      </c>
      <c r="AL100" s="34" t="e">
        <f>AND(#REF!,"AAAAAD+2zyU=")</f>
        <v>#REF!</v>
      </c>
      <c r="AM100" s="34" t="e">
        <f>AND(#REF!,"AAAAAD+2zyY=")</f>
        <v>#REF!</v>
      </c>
      <c r="AN100" s="34" t="e">
        <f>AND(#REF!,"AAAAAD+2zyc=")</f>
        <v>#REF!</v>
      </c>
      <c r="AO100" s="34" t="e">
        <f>AND(#REF!,"AAAAAD+2zyg=")</f>
        <v>#REF!</v>
      </c>
      <c r="AP100" s="34" t="e">
        <f>AND(#REF!,"AAAAAD+2zyk=")</f>
        <v>#REF!</v>
      </c>
      <c r="AQ100" s="34" t="e">
        <f>AND(#REF!,"AAAAAD+2zyo=")</f>
        <v>#REF!</v>
      </c>
      <c r="AR100" s="34" t="e">
        <f>AND(#REF!,"AAAAAD+2zys=")</f>
        <v>#REF!</v>
      </c>
      <c r="AS100" s="34" t="e">
        <f>AND(#REF!,"AAAAAD+2zyw=")</f>
        <v>#REF!</v>
      </c>
      <c r="AT100" s="34" t="e">
        <f>IF(#REF!,"AAAAAD+2zy0=",0)</f>
        <v>#REF!</v>
      </c>
      <c r="AU100" s="34" t="e">
        <f>AND(#REF!,"AAAAAD+2zy4=")</f>
        <v>#REF!</v>
      </c>
      <c r="AV100" s="34" t="e">
        <f>AND(#REF!,"AAAAAD+2zy8=")</f>
        <v>#REF!</v>
      </c>
      <c r="AW100" s="34" t="e">
        <f>AND(#REF!,"AAAAAD+2zzA=")</f>
        <v>#REF!</v>
      </c>
      <c r="AX100" s="34" t="e">
        <f>AND(#REF!,"AAAAAD+2zzE=")</f>
        <v>#REF!</v>
      </c>
      <c r="AY100" s="34" t="e">
        <f>AND(#REF!,"AAAAAD+2zzI=")</f>
        <v>#REF!</v>
      </c>
      <c r="AZ100" s="34" t="e">
        <f>AND(#REF!,"AAAAAD+2zzM=")</f>
        <v>#REF!</v>
      </c>
      <c r="BA100" s="34" t="e">
        <f>AND(#REF!,"AAAAAD+2zzQ=")</f>
        <v>#REF!</v>
      </c>
      <c r="BB100" s="34" t="e">
        <f>AND(#REF!,"AAAAAD+2zzU=")</f>
        <v>#REF!</v>
      </c>
      <c r="BC100" s="34" t="e">
        <f>AND(#REF!,"AAAAAD+2zzY=")</f>
        <v>#REF!</v>
      </c>
      <c r="BD100" s="34" t="e">
        <f>AND(#REF!,"AAAAAD+2zzc=")</f>
        <v>#REF!</v>
      </c>
      <c r="BE100" s="34" t="e">
        <f>AND(#REF!,"AAAAAD+2zzg=")</f>
        <v>#REF!</v>
      </c>
      <c r="BF100" s="34" t="e">
        <f>AND(#REF!,"AAAAAD+2zzk=")</f>
        <v>#REF!</v>
      </c>
      <c r="BG100" s="34" t="e">
        <f>AND(#REF!,"AAAAAD+2zzo=")</f>
        <v>#REF!</v>
      </c>
      <c r="BH100" s="34" t="e">
        <f>AND(#REF!,"AAAAAD+2zzs=")</f>
        <v>#REF!</v>
      </c>
      <c r="BI100" s="34" t="e">
        <f>AND(#REF!,"AAAAAD+2zzw=")</f>
        <v>#REF!</v>
      </c>
      <c r="BJ100" s="34" t="e">
        <f>AND(#REF!,"AAAAAD+2zz0=")</f>
        <v>#REF!</v>
      </c>
      <c r="BK100" s="34" t="e">
        <f>IF(#REF!,"AAAAAD+2zz4=",0)</f>
        <v>#REF!</v>
      </c>
      <c r="BL100" s="34" t="e">
        <f>AND(#REF!,"AAAAAD+2zz8=")</f>
        <v>#REF!</v>
      </c>
      <c r="BM100" s="34" t="e">
        <f>AND(#REF!,"AAAAAD+2z0A=")</f>
        <v>#REF!</v>
      </c>
      <c r="BN100" s="34" t="e">
        <f>AND(#REF!,"AAAAAD+2z0E=")</f>
        <v>#REF!</v>
      </c>
      <c r="BO100" s="34" t="e">
        <f>AND(#REF!,"AAAAAD+2z0I=")</f>
        <v>#REF!</v>
      </c>
      <c r="BP100" s="34" t="e">
        <f>AND(#REF!,"AAAAAD+2z0M=")</f>
        <v>#REF!</v>
      </c>
      <c r="BQ100" s="34" t="e">
        <f>AND(#REF!,"AAAAAD+2z0Q=")</f>
        <v>#REF!</v>
      </c>
      <c r="BR100" s="34" t="e">
        <f>AND(#REF!,"AAAAAD+2z0U=")</f>
        <v>#REF!</v>
      </c>
      <c r="BS100" s="34" t="e">
        <f>AND(#REF!,"AAAAAD+2z0Y=")</f>
        <v>#REF!</v>
      </c>
      <c r="BT100" s="34" t="e">
        <f>AND(#REF!,"AAAAAD+2z0c=")</f>
        <v>#REF!</v>
      </c>
      <c r="BU100" s="34" t="e">
        <f>AND(#REF!,"AAAAAD+2z0g=")</f>
        <v>#REF!</v>
      </c>
      <c r="BV100" s="34" t="e">
        <f>AND(#REF!,"AAAAAD+2z0k=")</f>
        <v>#REF!</v>
      </c>
      <c r="BW100" s="34" t="e">
        <f>AND(#REF!,"AAAAAD+2z0o=")</f>
        <v>#REF!</v>
      </c>
      <c r="BX100" s="34" t="e">
        <f>AND(#REF!,"AAAAAD+2z0s=")</f>
        <v>#REF!</v>
      </c>
      <c r="BY100" s="34" t="e">
        <f>AND(#REF!,"AAAAAD+2z0w=")</f>
        <v>#REF!</v>
      </c>
      <c r="BZ100" s="34" t="e">
        <f>AND(#REF!,"AAAAAD+2z00=")</f>
        <v>#REF!</v>
      </c>
      <c r="CA100" s="34" t="e">
        <f>AND(#REF!,"AAAAAD+2z04=")</f>
        <v>#REF!</v>
      </c>
      <c r="CB100" s="34" t="e">
        <f>IF(#REF!,"AAAAAD+2z08=",0)</f>
        <v>#REF!</v>
      </c>
      <c r="CC100" s="34" t="e">
        <f>AND(#REF!,"AAAAAD+2z1A=")</f>
        <v>#REF!</v>
      </c>
      <c r="CD100" s="34" t="e">
        <f>AND(#REF!,"AAAAAD+2z1E=")</f>
        <v>#REF!</v>
      </c>
      <c r="CE100" s="34" t="e">
        <f>AND(#REF!,"AAAAAD+2z1I=")</f>
        <v>#REF!</v>
      </c>
      <c r="CF100" s="34" t="e">
        <f>AND(#REF!,"AAAAAD+2z1M=")</f>
        <v>#REF!</v>
      </c>
      <c r="CG100" s="34" t="e">
        <f>AND(#REF!,"AAAAAD+2z1Q=")</f>
        <v>#REF!</v>
      </c>
      <c r="CH100" s="34" t="e">
        <f>AND(#REF!,"AAAAAD+2z1U=")</f>
        <v>#REF!</v>
      </c>
      <c r="CI100" s="34" t="e">
        <f>AND(#REF!,"AAAAAD+2z1Y=")</f>
        <v>#REF!</v>
      </c>
      <c r="CJ100" s="34" t="e">
        <f>AND(#REF!,"AAAAAD+2z1c=")</f>
        <v>#REF!</v>
      </c>
      <c r="CK100" s="34" t="e">
        <f>AND(#REF!,"AAAAAD+2z1g=")</f>
        <v>#REF!</v>
      </c>
      <c r="CL100" s="34" t="e">
        <f>AND(#REF!,"AAAAAD+2z1k=")</f>
        <v>#REF!</v>
      </c>
      <c r="CM100" s="34" t="e">
        <f>AND(#REF!,"AAAAAD+2z1o=")</f>
        <v>#REF!</v>
      </c>
      <c r="CN100" s="34" t="e">
        <f>AND(#REF!,"AAAAAD+2z1s=")</f>
        <v>#REF!</v>
      </c>
      <c r="CO100" s="34" t="e">
        <f>AND(#REF!,"AAAAAD+2z1w=")</f>
        <v>#REF!</v>
      </c>
      <c r="CP100" s="34" t="e">
        <f>AND(#REF!,"AAAAAD+2z10=")</f>
        <v>#REF!</v>
      </c>
      <c r="CQ100" s="34" t="e">
        <f>AND(#REF!,"AAAAAD+2z14=")</f>
        <v>#REF!</v>
      </c>
      <c r="CR100" s="34" t="e">
        <f>AND(#REF!,"AAAAAD+2z18=")</f>
        <v>#REF!</v>
      </c>
      <c r="CS100" s="34" t="e">
        <f>IF(#REF!,"AAAAAD+2z2A=",0)</f>
        <v>#REF!</v>
      </c>
      <c r="CT100" s="34" t="e">
        <f>AND(#REF!,"AAAAAD+2z2E=")</f>
        <v>#REF!</v>
      </c>
      <c r="CU100" s="34" t="e">
        <f>AND(#REF!,"AAAAAD+2z2I=")</f>
        <v>#REF!</v>
      </c>
      <c r="CV100" s="34" t="e">
        <f>AND(#REF!,"AAAAAD+2z2M=")</f>
        <v>#REF!</v>
      </c>
      <c r="CW100" s="34" t="e">
        <f>AND(#REF!,"AAAAAD+2z2Q=")</f>
        <v>#REF!</v>
      </c>
      <c r="CX100" s="34" t="e">
        <f>AND(#REF!,"AAAAAD+2z2U=")</f>
        <v>#REF!</v>
      </c>
      <c r="CY100" s="34" t="e">
        <f>AND(#REF!,"AAAAAD+2z2Y=")</f>
        <v>#REF!</v>
      </c>
      <c r="CZ100" s="34" t="e">
        <f>AND(#REF!,"AAAAAD+2z2c=")</f>
        <v>#REF!</v>
      </c>
      <c r="DA100" s="34" t="e">
        <f>AND(#REF!,"AAAAAD+2z2g=")</f>
        <v>#REF!</v>
      </c>
      <c r="DB100" s="34" t="e">
        <f>AND(#REF!,"AAAAAD+2z2k=")</f>
        <v>#REF!</v>
      </c>
      <c r="DC100" s="34" t="e">
        <f>AND(#REF!,"AAAAAD+2z2o=")</f>
        <v>#REF!</v>
      </c>
      <c r="DD100" s="34" t="e">
        <f>AND(#REF!,"AAAAAD+2z2s=")</f>
        <v>#REF!</v>
      </c>
      <c r="DE100" s="34" t="e">
        <f>AND(#REF!,"AAAAAD+2z2w=")</f>
        <v>#REF!</v>
      </c>
      <c r="DF100" s="34" t="e">
        <f>AND(#REF!,"AAAAAD+2z20=")</f>
        <v>#REF!</v>
      </c>
      <c r="DG100" s="34" t="e">
        <f>AND(#REF!,"AAAAAD+2z24=")</f>
        <v>#REF!</v>
      </c>
      <c r="DH100" s="34" t="e">
        <f>AND(#REF!,"AAAAAD+2z28=")</f>
        <v>#REF!</v>
      </c>
      <c r="DI100" s="34" t="e">
        <f>AND(#REF!,"AAAAAD+2z3A=")</f>
        <v>#REF!</v>
      </c>
      <c r="DJ100" s="34" t="e">
        <f>IF(#REF!,"AAAAAD+2z3E=",0)</f>
        <v>#REF!</v>
      </c>
      <c r="DK100" s="34" t="e">
        <f>AND(#REF!,"AAAAAD+2z3I=")</f>
        <v>#REF!</v>
      </c>
      <c r="DL100" s="34" t="e">
        <f>AND(#REF!,"AAAAAD+2z3M=")</f>
        <v>#REF!</v>
      </c>
      <c r="DM100" s="34" t="e">
        <f>AND(#REF!,"AAAAAD+2z3Q=")</f>
        <v>#REF!</v>
      </c>
      <c r="DN100" s="34" t="e">
        <f>AND(#REF!,"AAAAAD+2z3U=")</f>
        <v>#REF!</v>
      </c>
      <c r="DO100" s="34" t="e">
        <f>AND(#REF!,"AAAAAD+2z3Y=")</f>
        <v>#REF!</v>
      </c>
      <c r="DP100" s="34" t="e">
        <f>AND(#REF!,"AAAAAD+2z3c=")</f>
        <v>#REF!</v>
      </c>
      <c r="DQ100" s="34" t="e">
        <f>AND(#REF!,"AAAAAD+2z3g=")</f>
        <v>#REF!</v>
      </c>
      <c r="DR100" s="34" t="e">
        <f>AND(#REF!,"AAAAAD+2z3k=")</f>
        <v>#REF!</v>
      </c>
      <c r="DS100" s="34" t="e">
        <f>AND(#REF!,"AAAAAD+2z3o=")</f>
        <v>#REF!</v>
      </c>
      <c r="DT100" s="34" t="e">
        <f>AND(#REF!,"AAAAAD+2z3s=")</f>
        <v>#REF!</v>
      </c>
      <c r="DU100" s="34" t="e">
        <f>AND(#REF!,"AAAAAD+2z3w=")</f>
        <v>#REF!</v>
      </c>
      <c r="DV100" s="34" t="e">
        <f>AND(#REF!,"AAAAAD+2z30=")</f>
        <v>#REF!</v>
      </c>
      <c r="DW100" s="34" t="e">
        <f>AND(#REF!,"AAAAAD+2z34=")</f>
        <v>#REF!</v>
      </c>
      <c r="DX100" s="34" t="e">
        <f>AND(#REF!,"AAAAAD+2z38=")</f>
        <v>#REF!</v>
      </c>
      <c r="DY100" s="34" t="e">
        <f>AND(#REF!,"AAAAAD+2z4A=")</f>
        <v>#REF!</v>
      </c>
      <c r="DZ100" s="34" t="e">
        <f>AND(#REF!,"AAAAAD+2z4E=")</f>
        <v>#REF!</v>
      </c>
      <c r="EA100" s="34" t="e">
        <f>IF(#REF!,"AAAAAD+2z4I=",0)</f>
        <v>#REF!</v>
      </c>
      <c r="EB100" s="34" t="e">
        <f>AND(#REF!,"AAAAAD+2z4M=")</f>
        <v>#REF!</v>
      </c>
      <c r="EC100" s="34" t="e">
        <f>AND(#REF!,"AAAAAD+2z4Q=")</f>
        <v>#REF!</v>
      </c>
      <c r="ED100" s="34" t="e">
        <f>AND(#REF!,"AAAAAD+2z4U=")</f>
        <v>#REF!</v>
      </c>
      <c r="EE100" s="34" t="e">
        <f>AND(#REF!,"AAAAAD+2z4Y=")</f>
        <v>#REF!</v>
      </c>
      <c r="EF100" s="34" t="e">
        <f>AND(#REF!,"AAAAAD+2z4c=")</f>
        <v>#REF!</v>
      </c>
      <c r="EG100" s="34" t="e">
        <f>AND(#REF!,"AAAAAD+2z4g=")</f>
        <v>#REF!</v>
      </c>
      <c r="EH100" s="34" t="e">
        <f>AND(#REF!,"AAAAAD+2z4k=")</f>
        <v>#REF!</v>
      </c>
      <c r="EI100" s="34" t="e">
        <f>AND(#REF!,"AAAAAD+2z4o=")</f>
        <v>#REF!</v>
      </c>
      <c r="EJ100" s="34" t="e">
        <f>AND(#REF!,"AAAAAD+2z4s=")</f>
        <v>#REF!</v>
      </c>
      <c r="EK100" s="34" t="e">
        <f>AND(#REF!,"AAAAAD+2z4w=")</f>
        <v>#REF!</v>
      </c>
      <c r="EL100" s="34" t="e">
        <f>AND(#REF!,"AAAAAD+2z40=")</f>
        <v>#REF!</v>
      </c>
      <c r="EM100" s="34" t="e">
        <f>AND(#REF!,"AAAAAD+2z44=")</f>
        <v>#REF!</v>
      </c>
      <c r="EN100" s="34" t="e">
        <f>AND(#REF!,"AAAAAD+2z48=")</f>
        <v>#REF!</v>
      </c>
      <c r="EO100" s="34" t="e">
        <f>AND(#REF!,"AAAAAD+2z5A=")</f>
        <v>#REF!</v>
      </c>
      <c r="EP100" s="34" t="e">
        <f>AND(#REF!,"AAAAAD+2z5E=")</f>
        <v>#REF!</v>
      </c>
      <c r="EQ100" s="34" t="e">
        <f>AND(#REF!,"AAAAAD+2z5I=")</f>
        <v>#REF!</v>
      </c>
      <c r="ER100" s="34" t="e">
        <f>IF(#REF!,"AAAAAD+2z5M=",0)</f>
        <v>#REF!</v>
      </c>
      <c r="ES100" s="34" t="e">
        <f>AND(#REF!,"AAAAAD+2z5Q=")</f>
        <v>#REF!</v>
      </c>
      <c r="ET100" s="34" t="e">
        <f>AND(#REF!,"AAAAAD+2z5U=")</f>
        <v>#REF!</v>
      </c>
      <c r="EU100" s="34" t="e">
        <f>AND(#REF!,"AAAAAD+2z5Y=")</f>
        <v>#REF!</v>
      </c>
      <c r="EV100" s="34" t="e">
        <f>AND(#REF!,"AAAAAD+2z5c=")</f>
        <v>#REF!</v>
      </c>
      <c r="EW100" s="34" t="e">
        <f>AND(#REF!,"AAAAAD+2z5g=")</f>
        <v>#REF!</v>
      </c>
      <c r="EX100" s="34" t="e">
        <f>AND(#REF!,"AAAAAD+2z5k=")</f>
        <v>#REF!</v>
      </c>
      <c r="EY100" s="34" t="e">
        <f>AND(#REF!,"AAAAAD+2z5o=")</f>
        <v>#REF!</v>
      </c>
      <c r="EZ100" s="34" t="e">
        <f>AND(#REF!,"AAAAAD+2z5s=")</f>
        <v>#REF!</v>
      </c>
      <c r="FA100" s="34" t="e">
        <f>AND(#REF!,"AAAAAD+2z5w=")</f>
        <v>#REF!</v>
      </c>
      <c r="FB100" s="34" t="e">
        <f>AND(#REF!,"AAAAAD+2z50=")</f>
        <v>#REF!</v>
      </c>
      <c r="FC100" s="34" t="e">
        <f>AND(#REF!,"AAAAAD+2z54=")</f>
        <v>#REF!</v>
      </c>
      <c r="FD100" s="34" t="e">
        <f>AND(#REF!,"AAAAAD+2z58=")</f>
        <v>#REF!</v>
      </c>
      <c r="FE100" s="34" t="e">
        <f>AND(#REF!,"AAAAAD+2z6A=")</f>
        <v>#REF!</v>
      </c>
      <c r="FF100" s="34" t="e">
        <f>AND(#REF!,"AAAAAD+2z6E=")</f>
        <v>#REF!</v>
      </c>
      <c r="FG100" s="34" t="e">
        <f>AND(#REF!,"AAAAAD+2z6I=")</f>
        <v>#REF!</v>
      </c>
      <c r="FH100" s="34" t="e">
        <f>AND(#REF!,"AAAAAD+2z6M=")</f>
        <v>#REF!</v>
      </c>
      <c r="FI100" s="34" t="e">
        <f>IF(#REF!,"AAAAAD+2z6Q=",0)</f>
        <v>#REF!</v>
      </c>
      <c r="FJ100" s="34" t="e">
        <f>AND(#REF!,"AAAAAD+2z6U=")</f>
        <v>#REF!</v>
      </c>
      <c r="FK100" s="34" t="e">
        <f>AND(#REF!,"AAAAAD+2z6Y=")</f>
        <v>#REF!</v>
      </c>
      <c r="FL100" s="34" t="e">
        <f>AND(#REF!,"AAAAAD+2z6c=")</f>
        <v>#REF!</v>
      </c>
      <c r="FM100" s="34" t="e">
        <f>AND(#REF!,"AAAAAD+2z6g=")</f>
        <v>#REF!</v>
      </c>
      <c r="FN100" s="34" t="e">
        <f>AND(#REF!,"AAAAAD+2z6k=")</f>
        <v>#REF!</v>
      </c>
      <c r="FO100" s="34" t="e">
        <f>AND(#REF!,"AAAAAD+2z6o=")</f>
        <v>#REF!</v>
      </c>
      <c r="FP100" s="34" t="e">
        <f>AND(#REF!,"AAAAAD+2z6s=")</f>
        <v>#REF!</v>
      </c>
      <c r="FQ100" s="34" t="e">
        <f>AND(#REF!,"AAAAAD+2z6w=")</f>
        <v>#REF!</v>
      </c>
      <c r="FR100" s="34" t="e">
        <f>AND(#REF!,"AAAAAD+2z60=")</f>
        <v>#REF!</v>
      </c>
      <c r="FS100" s="34" t="e">
        <f>AND(#REF!,"AAAAAD+2z64=")</f>
        <v>#REF!</v>
      </c>
      <c r="FT100" s="34" t="e">
        <f>AND(#REF!,"AAAAAD+2z68=")</f>
        <v>#REF!</v>
      </c>
      <c r="FU100" s="34" t="e">
        <f>AND(#REF!,"AAAAAD+2z7A=")</f>
        <v>#REF!</v>
      </c>
      <c r="FV100" s="34" t="e">
        <f>AND(#REF!,"AAAAAD+2z7E=")</f>
        <v>#REF!</v>
      </c>
      <c r="FW100" s="34" t="e">
        <f>AND(#REF!,"AAAAAD+2z7I=")</f>
        <v>#REF!</v>
      </c>
      <c r="FX100" s="34" t="e">
        <f>AND(#REF!,"AAAAAD+2z7M=")</f>
        <v>#REF!</v>
      </c>
      <c r="FY100" s="34" t="e">
        <f>AND(#REF!,"AAAAAD+2z7Q=")</f>
        <v>#REF!</v>
      </c>
      <c r="FZ100" s="34" t="e">
        <f>IF(#REF!,"AAAAAD+2z7U=",0)</f>
        <v>#REF!</v>
      </c>
      <c r="GA100" s="34" t="e">
        <f>AND(#REF!,"AAAAAD+2z7Y=")</f>
        <v>#REF!</v>
      </c>
      <c r="GB100" s="34" t="e">
        <f>AND(#REF!,"AAAAAD+2z7c=")</f>
        <v>#REF!</v>
      </c>
      <c r="GC100" s="34" t="e">
        <f>AND(#REF!,"AAAAAD+2z7g=")</f>
        <v>#REF!</v>
      </c>
      <c r="GD100" s="34" t="e">
        <f>AND(#REF!,"AAAAAD+2z7k=")</f>
        <v>#REF!</v>
      </c>
      <c r="GE100" s="34" t="e">
        <f>AND(#REF!,"AAAAAD+2z7o=")</f>
        <v>#REF!</v>
      </c>
      <c r="GF100" s="34" t="e">
        <f>AND(#REF!,"AAAAAD+2z7s=")</f>
        <v>#REF!</v>
      </c>
      <c r="GG100" s="34" t="e">
        <f>AND(#REF!,"AAAAAD+2z7w=")</f>
        <v>#REF!</v>
      </c>
      <c r="GH100" s="34" t="e">
        <f>AND(#REF!,"AAAAAD+2z70=")</f>
        <v>#REF!</v>
      </c>
      <c r="GI100" s="34" t="e">
        <f>AND(#REF!,"AAAAAD+2z74=")</f>
        <v>#REF!</v>
      </c>
      <c r="GJ100" s="34" t="e">
        <f>AND(#REF!,"AAAAAD+2z78=")</f>
        <v>#REF!</v>
      </c>
      <c r="GK100" s="34" t="e">
        <f>AND(#REF!,"AAAAAD+2z8A=")</f>
        <v>#REF!</v>
      </c>
      <c r="GL100" s="34" t="e">
        <f>AND(#REF!,"AAAAAD+2z8E=")</f>
        <v>#REF!</v>
      </c>
      <c r="GM100" s="34" t="e">
        <f>AND(#REF!,"AAAAAD+2z8I=")</f>
        <v>#REF!</v>
      </c>
      <c r="GN100" s="34" t="e">
        <f>AND(#REF!,"AAAAAD+2z8M=")</f>
        <v>#REF!</v>
      </c>
      <c r="GO100" s="34" t="e">
        <f>AND(#REF!,"AAAAAD+2z8Q=")</f>
        <v>#REF!</v>
      </c>
      <c r="GP100" s="34" t="e">
        <f>AND(#REF!,"AAAAAD+2z8U=")</f>
        <v>#REF!</v>
      </c>
      <c r="GQ100" s="34" t="e">
        <f>IF(#REF!,"AAAAAD+2z8Y=",0)</f>
        <v>#REF!</v>
      </c>
      <c r="GR100" s="34" t="e">
        <f>AND(#REF!,"AAAAAD+2z8c=")</f>
        <v>#REF!</v>
      </c>
      <c r="GS100" s="34" t="e">
        <f>AND(#REF!,"AAAAAD+2z8g=")</f>
        <v>#REF!</v>
      </c>
      <c r="GT100" s="34" t="e">
        <f>AND(#REF!,"AAAAAD+2z8k=")</f>
        <v>#REF!</v>
      </c>
      <c r="GU100" s="34" t="e">
        <f>AND(#REF!,"AAAAAD+2z8o=")</f>
        <v>#REF!</v>
      </c>
      <c r="GV100" s="34" t="e">
        <f>AND(#REF!,"AAAAAD+2z8s=")</f>
        <v>#REF!</v>
      </c>
      <c r="GW100" s="34" t="e">
        <f>AND(#REF!,"AAAAAD+2z8w=")</f>
        <v>#REF!</v>
      </c>
      <c r="GX100" s="34" t="e">
        <f>AND(#REF!,"AAAAAD+2z80=")</f>
        <v>#REF!</v>
      </c>
      <c r="GY100" s="34" t="e">
        <f>AND(#REF!,"AAAAAD+2z84=")</f>
        <v>#REF!</v>
      </c>
      <c r="GZ100" s="34" t="e">
        <f>AND(#REF!,"AAAAAD+2z88=")</f>
        <v>#REF!</v>
      </c>
      <c r="HA100" s="34" t="e">
        <f>AND(#REF!,"AAAAAD+2z9A=")</f>
        <v>#REF!</v>
      </c>
      <c r="HB100" s="34" t="e">
        <f>AND(#REF!,"AAAAAD+2z9E=")</f>
        <v>#REF!</v>
      </c>
      <c r="HC100" s="34" t="e">
        <f>AND(#REF!,"AAAAAD+2z9I=")</f>
        <v>#REF!</v>
      </c>
      <c r="HD100" s="34" t="e">
        <f>AND(#REF!,"AAAAAD+2z9M=")</f>
        <v>#REF!</v>
      </c>
      <c r="HE100" s="34" t="e">
        <f>AND(#REF!,"AAAAAD+2z9Q=")</f>
        <v>#REF!</v>
      </c>
      <c r="HF100" s="34" t="e">
        <f>AND(#REF!,"AAAAAD+2z9U=")</f>
        <v>#REF!</v>
      </c>
      <c r="HG100" s="34" t="e">
        <f>AND(#REF!,"AAAAAD+2z9Y=")</f>
        <v>#REF!</v>
      </c>
      <c r="HH100" s="34" t="e">
        <f>IF(#REF!,"AAAAAD+2z9c=",0)</f>
        <v>#REF!</v>
      </c>
      <c r="HI100" s="34" t="e">
        <f>AND(#REF!,"AAAAAD+2z9g=")</f>
        <v>#REF!</v>
      </c>
      <c r="HJ100" s="34" t="e">
        <f>AND(#REF!,"AAAAAD+2z9k=")</f>
        <v>#REF!</v>
      </c>
      <c r="HK100" s="34" t="e">
        <f>AND(#REF!,"AAAAAD+2z9o=")</f>
        <v>#REF!</v>
      </c>
      <c r="HL100" s="34" t="e">
        <f>AND(#REF!,"AAAAAD+2z9s=")</f>
        <v>#REF!</v>
      </c>
      <c r="HM100" s="34" t="e">
        <f>AND(#REF!,"AAAAAD+2z9w=")</f>
        <v>#REF!</v>
      </c>
      <c r="HN100" s="34" t="e">
        <f>AND(#REF!,"AAAAAD+2z90=")</f>
        <v>#REF!</v>
      </c>
      <c r="HO100" s="34" t="e">
        <f>AND(#REF!,"AAAAAD+2z94=")</f>
        <v>#REF!</v>
      </c>
      <c r="HP100" s="34" t="e">
        <f>AND(#REF!,"AAAAAD+2z98=")</f>
        <v>#REF!</v>
      </c>
      <c r="HQ100" s="34" t="e">
        <f>AND(#REF!,"AAAAAD+2z+A=")</f>
        <v>#REF!</v>
      </c>
      <c r="HR100" s="34" t="e">
        <f>AND(#REF!,"AAAAAD+2z+E=")</f>
        <v>#REF!</v>
      </c>
      <c r="HS100" s="34" t="e">
        <f>AND(#REF!,"AAAAAD+2z+I=")</f>
        <v>#REF!</v>
      </c>
      <c r="HT100" s="34" t="e">
        <f>AND(#REF!,"AAAAAD+2z+M=")</f>
        <v>#REF!</v>
      </c>
      <c r="HU100" s="34" t="e">
        <f>AND(#REF!,"AAAAAD+2z+Q=")</f>
        <v>#REF!</v>
      </c>
      <c r="HV100" s="34" t="e">
        <f>AND(#REF!,"AAAAAD+2z+U=")</f>
        <v>#REF!</v>
      </c>
      <c r="HW100" s="34" t="e">
        <f>AND(#REF!,"AAAAAD+2z+Y=")</f>
        <v>#REF!</v>
      </c>
      <c r="HX100" s="34" t="e">
        <f>AND(#REF!,"AAAAAD+2z+c=")</f>
        <v>#REF!</v>
      </c>
      <c r="HY100" s="34" t="e">
        <f>IF(#REF!,"AAAAAD+2z+g=",0)</f>
        <v>#REF!</v>
      </c>
      <c r="HZ100" s="34" t="e">
        <f>AND(#REF!,"AAAAAD+2z+k=")</f>
        <v>#REF!</v>
      </c>
      <c r="IA100" s="34" t="e">
        <f>AND(#REF!,"AAAAAD+2z+o=")</f>
        <v>#REF!</v>
      </c>
      <c r="IB100" s="34" t="e">
        <f>AND(#REF!,"AAAAAD+2z+s=")</f>
        <v>#REF!</v>
      </c>
      <c r="IC100" s="34" t="e">
        <f>AND(#REF!,"AAAAAD+2z+w=")</f>
        <v>#REF!</v>
      </c>
      <c r="ID100" s="34" t="e">
        <f>AND(#REF!,"AAAAAD+2z+0=")</f>
        <v>#REF!</v>
      </c>
      <c r="IE100" s="34" t="e">
        <f>AND(#REF!,"AAAAAD+2z+4=")</f>
        <v>#REF!</v>
      </c>
      <c r="IF100" s="34" t="e">
        <f>AND(#REF!,"AAAAAD+2z+8=")</f>
        <v>#REF!</v>
      </c>
      <c r="IG100" s="34" t="e">
        <f>AND(#REF!,"AAAAAD+2z/A=")</f>
        <v>#REF!</v>
      </c>
      <c r="IH100" s="34" t="e">
        <f>AND(#REF!,"AAAAAD+2z/E=")</f>
        <v>#REF!</v>
      </c>
      <c r="II100" s="34" t="e">
        <f>AND(#REF!,"AAAAAD+2z/I=")</f>
        <v>#REF!</v>
      </c>
      <c r="IJ100" s="34" t="e">
        <f>AND(#REF!,"AAAAAD+2z/M=")</f>
        <v>#REF!</v>
      </c>
      <c r="IK100" s="34" t="e">
        <f>AND(#REF!,"AAAAAD+2z/Q=")</f>
        <v>#REF!</v>
      </c>
      <c r="IL100" s="34" t="e">
        <f>AND(#REF!,"AAAAAD+2z/U=")</f>
        <v>#REF!</v>
      </c>
      <c r="IM100" s="34" t="e">
        <f>AND(#REF!,"AAAAAD+2z/Y=")</f>
        <v>#REF!</v>
      </c>
      <c r="IN100" s="34" t="e">
        <f>AND(#REF!,"AAAAAD+2z/c=")</f>
        <v>#REF!</v>
      </c>
      <c r="IO100" s="34" t="e">
        <f>AND(#REF!,"AAAAAD+2z/g=")</f>
        <v>#REF!</v>
      </c>
      <c r="IP100" s="34" t="e">
        <f>IF(#REF!,"AAAAAD+2z/k=",0)</f>
        <v>#REF!</v>
      </c>
      <c r="IQ100" s="34" t="e">
        <f>AND(#REF!,"AAAAAD+2z/o=")</f>
        <v>#REF!</v>
      </c>
      <c r="IR100" s="34" t="e">
        <f>AND(#REF!,"AAAAAD+2z/s=")</f>
        <v>#REF!</v>
      </c>
      <c r="IS100" s="34" t="e">
        <f>AND(#REF!,"AAAAAD+2z/w=")</f>
        <v>#REF!</v>
      </c>
      <c r="IT100" s="34" t="e">
        <f>AND(#REF!,"AAAAAD+2z/0=")</f>
        <v>#REF!</v>
      </c>
      <c r="IU100" s="34" t="e">
        <f>AND(#REF!,"AAAAAD+2z/4=")</f>
        <v>#REF!</v>
      </c>
      <c r="IV100" s="34" t="e">
        <f>AND(#REF!,"AAAAAD+2z/8=")</f>
        <v>#REF!</v>
      </c>
    </row>
    <row r="101" spans="1:256" ht="12.75" customHeight="1" x14ac:dyDescent="0.2">
      <c r="A101" s="34" t="e">
        <f>AND(#REF!,"AAAAAH1PvwA=")</f>
        <v>#REF!</v>
      </c>
      <c r="B101" s="34" t="e">
        <f>AND(#REF!,"AAAAAH1PvwE=")</f>
        <v>#REF!</v>
      </c>
      <c r="C101" s="34" t="e">
        <f>AND(#REF!,"AAAAAH1PvwI=")</f>
        <v>#REF!</v>
      </c>
      <c r="D101" s="34" t="e">
        <f>AND(#REF!,"AAAAAH1PvwM=")</f>
        <v>#REF!</v>
      </c>
      <c r="E101" s="34" t="e">
        <f>AND(#REF!,"AAAAAH1PvwQ=")</f>
        <v>#REF!</v>
      </c>
      <c r="F101" s="34" t="e">
        <f>AND(#REF!,"AAAAAH1PvwU=")</f>
        <v>#REF!</v>
      </c>
      <c r="G101" s="34" t="e">
        <f>AND(#REF!,"AAAAAH1PvwY=")</f>
        <v>#REF!</v>
      </c>
      <c r="H101" s="34" t="e">
        <f>AND(#REF!,"AAAAAH1Pvwc=")</f>
        <v>#REF!</v>
      </c>
      <c r="I101" s="34" t="e">
        <f>AND(#REF!,"AAAAAH1Pvwg=")</f>
        <v>#REF!</v>
      </c>
      <c r="J101" s="34" t="e">
        <f>AND(#REF!,"AAAAAH1Pvwk=")</f>
        <v>#REF!</v>
      </c>
      <c r="K101" s="34" t="e">
        <f>IF(#REF!,"AAAAAH1Pvwo=",0)</f>
        <v>#REF!</v>
      </c>
      <c r="L101" s="34" t="e">
        <f>AND(#REF!,"AAAAAH1Pvws=")</f>
        <v>#REF!</v>
      </c>
      <c r="M101" s="34" t="e">
        <f>AND(#REF!,"AAAAAH1Pvww=")</f>
        <v>#REF!</v>
      </c>
      <c r="N101" s="34" t="e">
        <f>AND(#REF!,"AAAAAH1Pvw0=")</f>
        <v>#REF!</v>
      </c>
      <c r="O101" s="34" t="e">
        <f>AND(#REF!,"AAAAAH1Pvw4=")</f>
        <v>#REF!</v>
      </c>
      <c r="P101" s="34" t="e">
        <f>AND(#REF!,"AAAAAH1Pvw8=")</f>
        <v>#REF!</v>
      </c>
      <c r="Q101" s="34" t="e">
        <f>AND(#REF!,"AAAAAH1PvxA=")</f>
        <v>#REF!</v>
      </c>
      <c r="R101" s="34" t="e">
        <f>AND(#REF!,"AAAAAH1PvxE=")</f>
        <v>#REF!</v>
      </c>
      <c r="S101" s="34" t="e">
        <f>AND(#REF!,"AAAAAH1PvxI=")</f>
        <v>#REF!</v>
      </c>
      <c r="T101" s="34" t="e">
        <f>AND(#REF!,"AAAAAH1PvxM=")</f>
        <v>#REF!</v>
      </c>
      <c r="U101" s="34" t="e">
        <f>AND(#REF!,"AAAAAH1PvxQ=")</f>
        <v>#REF!</v>
      </c>
      <c r="V101" s="34" t="e">
        <f>AND(#REF!,"AAAAAH1PvxU=")</f>
        <v>#REF!</v>
      </c>
      <c r="W101" s="34" t="e">
        <f>AND(#REF!,"AAAAAH1PvxY=")</f>
        <v>#REF!</v>
      </c>
      <c r="X101" s="34" t="e">
        <f>AND(#REF!,"AAAAAH1Pvxc=")</f>
        <v>#REF!</v>
      </c>
      <c r="Y101" s="34" t="e">
        <f>AND(#REF!,"AAAAAH1Pvxg=")</f>
        <v>#REF!</v>
      </c>
      <c r="Z101" s="34" t="e">
        <f>AND(#REF!,"AAAAAH1Pvxk=")</f>
        <v>#REF!</v>
      </c>
      <c r="AA101" s="34" t="e">
        <f>AND(#REF!,"AAAAAH1Pvxo=")</f>
        <v>#REF!</v>
      </c>
      <c r="AB101" s="34" t="e">
        <f>IF(#REF!,"AAAAAH1Pvxs=",0)</f>
        <v>#REF!</v>
      </c>
      <c r="AC101" s="34" t="e">
        <f>AND(#REF!,"AAAAAH1Pvxw=")</f>
        <v>#REF!</v>
      </c>
      <c r="AD101" s="34" t="e">
        <f>AND(#REF!,"AAAAAH1Pvx0=")</f>
        <v>#REF!</v>
      </c>
      <c r="AE101" s="34" t="e">
        <f>AND(#REF!,"AAAAAH1Pvx4=")</f>
        <v>#REF!</v>
      </c>
      <c r="AF101" s="34" t="e">
        <f>AND(#REF!,"AAAAAH1Pvx8=")</f>
        <v>#REF!</v>
      </c>
      <c r="AG101" s="34" t="e">
        <f>AND(#REF!,"AAAAAH1PvyA=")</f>
        <v>#REF!</v>
      </c>
      <c r="AH101" s="34" t="e">
        <f>AND(#REF!,"AAAAAH1PvyE=")</f>
        <v>#REF!</v>
      </c>
      <c r="AI101" s="34" t="e">
        <f>AND(#REF!,"AAAAAH1PvyI=")</f>
        <v>#REF!</v>
      </c>
      <c r="AJ101" s="34" t="e">
        <f>AND(#REF!,"AAAAAH1PvyM=")</f>
        <v>#REF!</v>
      </c>
      <c r="AK101" s="34" t="e">
        <f>AND(#REF!,"AAAAAH1PvyQ=")</f>
        <v>#REF!</v>
      </c>
      <c r="AL101" s="34" t="e">
        <f>AND(#REF!,"AAAAAH1PvyU=")</f>
        <v>#REF!</v>
      </c>
      <c r="AM101" s="34" t="e">
        <f>AND(#REF!,"AAAAAH1PvyY=")</f>
        <v>#REF!</v>
      </c>
      <c r="AN101" s="34" t="e">
        <f>AND(#REF!,"AAAAAH1Pvyc=")</f>
        <v>#REF!</v>
      </c>
      <c r="AO101" s="34" t="e">
        <f>AND(#REF!,"AAAAAH1Pvyg=")</f>
        <v>#REF!</v>
      </c>
      <c r="AP101" s="34" t="e">
        <f>AND(#REF!,"AAAAAH1Pvyk=")</f>
        <v>#REF!</v>
      </c>
      <c r="AQ101" s="34" t="e">
        <f>AND(#REF!,"AAAAAH1Pvyo=")</f>
        <v>#REF!</v>
      </c>
      <c r="AR101" s="34" t="e">
        <f>AND(#REF!,"AAAAAH1Pvys=")</f>
        <v>#REF!</v>
      </c>
      <c r="AS101" s="34" t="e">
        <f>IF(#REF!,"AAAAAH1Pvyw=",0)</f>
        <v>#REF!</v>
      </c>
      <c r="AT101" s="34" t="e">
        <f>AND(#REF!,"AAAAAH1Pvy0=")</f>
        <v>#REF!</v>
      </c>
      <c r="AU101" s="34" t="e">
        <f>AND(#REF!,"AAAAAH1Pvy4=")</f>
        <v>#REF!</v>
      </c>
      <c r="AV101" s="34" t="e">
        <f>AND(#REF!,"AAAAAH1Pvy8=")</f>
        <v>#REF!</v>
      </c>
      <c r="AW101" s="34" t="e">
        <f>AND(#REF!,"AAAAAH1PvzA=")</f>
        <v>#REF!</v>
      </c>
      <c r="AX101" s="34" t="e">
        <f>AND(#REF!,"AAAAAH1PvzE=")</f>
        <v>#REF!</v>
      </c>
      <c r="AY101" s="34" t="e">
        <f>AND(#REF!,"AAAAAH1PvzI=")</f>
        <v>#REF!</v>
      </c>
      <c r="AZ101" s="34" t="e">
        <f>AND(#REF!,"AAAAAH1PvzM=")</f>
        <v>#REF!</v>
      </c>
      <c r="BA101" s="34" t="e">
        <f>AND(#REF!,"AAAAAH1PvzQ=")</f>
        <v>#REF!</v>
      </c>
      <c r="BB101" s="34" t="e">
        <f>AND(#REF!,"AAAAAH1PvzU=")</f>
        <v>#REF!</v>
      </c>
      <c r="BC101" s="34" t="e">
        <f>AND(#REF!,"AAAAAH1PvzY=")</f>
        <v>#REF!</v>
      </c>
      <c r="BD101" s="34" t="e">
        <f>AND(#REF!,"AAAAAH1Pvzc=")</f>
        <v>#REF!</v>
      </c>
      <c r="BE101" s="34" t="e">
        <f>AND(#REF!,"AAAAAH1Pvzg=")</f>
        <v>#REF!</v>
      </c>
      <c r="BF101" s="34" t="e">
        <f>AND(#REF!,"AAAAAH1Pvzk=")</f>
        <v>#REF!</v>
      </c>
      <c r="BG101" s="34" t="e">
        <f>AND(#REF!,"AAAAAH1Pvzo=")</f>
        <v>#REF!</v>
      </c>
      <c r="BH101" s="34" t="e">
        <f>AND(#REF!,"AAAAAH1Pvzs=")</f>
        <v>#REF!</v>
      </c>
      <c r="BI101" s="34" t="e">
        <f>AND(#REF!,"AAAAAH1Pvzw=")</f>
        <v>#REF!</v>
      </c>
      <c r="BJ101" s="34" t="e">
        <f>IF(#REF!,"AAAAAH1Pvz0=",0)</f>
        <v>#REF!</v>
      </c>
      <c r="BK101" s="34" t="e">
        <f>AND(#REF!,"AAAAAH1Pvz4=")</f>
        <v>#REF!</v>
      </c>
      <c r="BL101" s="34" t="e">
        <f>AND(#REF!,"AAAAAH1Pvz8=")</f>
        <v>#REF!</v>
      </c>
      <c r="BM101" s="34" t="e">
        <f>AND(#REF!,"AAAAAH1Pv0A=")</f>
        <v>#REF!</v>
      </c>
      <c r="BN101" s="34" t="e">
        <f>AND(#REF!,"AAAAAH1Pv0E=")</f>
        <v>#REF!</v>
      </c>
      <c r="BO101" s="34" t="e">
        <f>AND(#REF!,"AAAAAH1Pv0I=")</f>
        <v>#REF!</v>
      </c>
      <c r="BP101" s="34" t="e">
        <f>AND(#REF!,"AAAAAH1Pv0M=")</f>
        <v>#REF!</v>
      </c>
      <c r="BQ101" s="34" t="e">
        <f>AND(#REF!,"AAAAAH1Pv0Q=")</f>
        <v>#REF!</v>
      </c>
      <c r="BR101" s="34" t="e">
        <f>AND(#REF!,"AAAAAH1Pv0U=")</f>
        <v>#REF!</v>
      </c>
      <c r="BS101" s="34" t="e">
        <f>AND(#REF!,"AAAAAH1Pv0Y=")</f>
        <v>#REF!</v>
      </c>
      <c r="BT101" s="34" t="e">
        <f>AND(#REF!,"AAAAAH1Pv0c=")</f>
        <v>#REF!</v>
      </c>
      <c r="BU101" s="34" t="e">
        <f>AND(#REF!,"AAAAAH1Pv0g=")</f>
        <v>#REF!</v>
      </c>
      <c r="BV101" s="34" t="e">
        <f>AND(#REF!,"AAAAAH1Pv0k=")</f>
        <v>#REF!</v>
      </c>
      <c r="BW101" s="34" t="e">
        <f>AND(#REF!,"AAAAAH1Pv0o=")</f>
        <v>#REF!</v>
      </c>
      <c r="BX101" s="34" t="e">
        <f>AND(#REF!,"AAAAAH1Pv0s=")</f>
        <v>#REF!</v>
      </c>
      <c r="BY101" s="34" t="e">
        <f>AND(#REF!,"AAAAAH1Pv0w=")</f>
        <v>#REF!</v>
      </c>
      <c r="BZ101" s="34" t="e">
        <f>AND(#REF!,"AAAAAH1Pv00=")</f>
        <v>#REF!</v>
      </c>
      <c r="CA101" s="34" t="e">
        <f>IF(#REF!,"AAAAAH1Pv04=",0)</f>
        <v>#REF!</v>
      </c>
      <c r="CB101" s="34" t="e">
        <f>AND(#REF!,"AAAAAH1Pv08=")</f>
        <v>#REF!</v>
      </c>
      <c r="CC101" s="34" t="e">
        <f>AND(#REF!,"AAAAAH1Pv1A=")</f>
        <v>#REF!</v>
      </c>
      <c r="CD101" s="34" t="e">
        <f>AND(#REF!,"AAAAAH1Pv1E=")</f>
        <v>#REF!</v>
      </c>
      <c r="CE101" s="34" t="e">
        <f>AND(#REF!,"AAAAAH1Pv1I=")</f>
        <v>#REF!</v>
      </c>
      <c r="CF101" s="34" t="e">
        <f>AND(#REF!,"AAAAAH1Pv1M=")</f>
        <v>#REF!</v>
      </c>
      <c r="CG101" s="34" t="e">
        <f>AND(#REF!,"AAAAAH1Pv1Q=")</f>
        <v>#REF!</v>
      </c>
      <c r="CH101" s="34" t="e">
        <f>AND(#REF!,"AAAAAH1Pv1U=")</f>
        <v>#REF!</v>
      </c>
      <c r="CI101" s="34" t="e">
        <f>AND(#REF!,"AAAAAH1Pv1Y=")</f>
        <v>#REF!</v>
      </c>
      <c r="CJ101" s="34" t="e">
        <f>AND(#REF!,"AAAAAH1Pv1c=")</f>
        <v>#REF!</v>
      </c>
      <c r="CK101" s="34" t="e">
        <f>AND(#REF!,"AAAAAH1Pv1g=")</f>
        <v>#REF!</v>
      </c>
      <c r="CL101" s="34" t="e">
        <f>AND(#REF!,"AAAAAH1Pv1k=")</f>
        <v>#REF!</v>
      </c>
      <c r="CM101" s="34" t="e">
        <f>AND(#REF!,"AAAAAH1Pv1o=")</f>
        <v>#REF!</v>
      </c>
      <c r="CN101" s="34" t="e">
        <f>AND(#REF!,"AAAAAH1Pv1s=")</f>
        <v>#REF!</v>
      </c>
      <c r="CO101" s="34" t="e">
        <f>AND(#REF!,"AAAAAH1Pv1w=")</f>
        <v>#REF!</v>
      </c>
      <c r="CP101" s="34" t="e">
        <f>AND(#REF!,"AAAAAH1Pv10=")</f>
        <v>#REF!</v>
      </c>
      <c r="CQ101" s="34" t="e">
        <f>AND(#REF!,"AAAAAH1Pv14=")</f>
        <v>#REF!</v>
      </c>
      <c r="CR101" s="34" t="e">
        <f>IF(#REF!,"AAAAAH1Pv18=",0)</f>
        <v>#REF!</v>
      </c>
      <c r="CS101" s="34" t="e">
        <f>AND(#REF!,"AAAAAH1Pv2A=")</f>
        <v>#REF!</v>
      </c>
      <c r="CT101" s="34" t="e">
        <f>AND(#REF!,"AAAAAH1Pv2E=")</f>
        <v>#REF!</v>
      </c>
      <c r="CU101" s="34" t="e">
        <f>AND(#REF!,"AAAAAH1Pv2I=")</f>
        <v>#REF!</v>
      </c>
      <c r="CV101" s="34" t="e">
        <f>AND(#REF!,"AAAAAH1Pv2M=")</f>
        <v>#REF!</v>
      </c>
      <c r="CW101" s="34" t="e">
        <f>AND(#REF!,"AAAAAH1Pv2Q=")</f>
        <v>#REF!</v>
      </c>
      <c r="CX101" s="34" t="e">
        <f>AND(#REF!,"AAAAAH1Pv2U=")</f>
        <v>#REF!</v>
      </c>
      <c r="CY101" s="34" t="e">
        <f>AND(#REF!,"AAAAAH1Pv2Y=")</f>
        <v>#REF!</v>
      </c>
      <c r="CZ101" s="34" t="e">
        <f>AND(#REF!,"AAAAAH1Pv2c=")</f>
        <v>#REF!</v>
      </c>
      <c r="DA101" s="34" t="e">
        <f>AND(#REF!,"AAAAAH1Pv2g=")</f>
        <v>#REF!</v>
      </c>
      <c r="DB101" s="34" t="e">
        <f>AND(#REF!,"AAAAAH1Pv2k=")</f>
        <v>#REF!</v>
      </c>
      <c r="DC101" s="34" t="e">
        <f>AND(#REF!,"AAAAAH1Pv2o=")</f>
        <v>#REF!</v>
      </c>
      <c r="DD101" s="34" t="e">
        <f>AND(#REF!,"AAAAAH1Pv2s=")</f>
        <v>#REF!</v>
      </c>
      <c r="DE101" s="34" t="e">
        <f>AND(#REF!,"AAAAAH1Pv2w=")</f>
        <v>#REF!</v>
      </c>
      <c r="DF101" s="34" t="e">
        <f>AND(#REF!,"AAAAAH1Pv20=")</f>
        <v>#REF!</v>
      </c>
      <c r="DG101" s="34" t="e">
        <f>AND(#REF!,"AAAAAH1Pv24=")</f>
        <v>#REF!</v>
      </c>
      <c r="DH101" s="34" t="e">
        <f>AND(#REF!,"AAAAAH1Pv28=")</f>
        <v>#REF!</v>
      </c>
      <c r="DI101" s="34" t="e">
        <f>IF(#REF!,"AAAAAH1Pv3A=",0)</f>
        <v>#REF!</v>
      </c>
      <c r="DJ101" s="34" t="e">
        <f>AND(#REF!,"AAAAAH1Pv3E=")</f>
        <v>#REF!</v>
      </c>
      <c r="DK101" s="34" t="e">
        <f>AND(#REF!,"AAAAAH1Pv3I=")</f>
        <v>#REF!</v>
      </c>
      <c r="DL101" s="34" t="e">
        <f>AND(#REF!,"AAAAAH1Pv3M=")</f>
        <v>#REF!</v>
      </c>
      <c r="DM101" s="34" t="e">
        <f>AND(#REF!,"AAAAAH1Pv3Q=")</f>
        <v>#REF!</v>
      </c>
      <c r="DN101" s="34" t="e">
        <f>AND(#REF!,"AAAAAH1Pv3U=")</f>
        <v>#REF!</v>
      </c>
      <c r="DO101" s="34" t="e">
        <f>AND(#REF!,"AAAAAH1Pv3Y=")</f>
        <v>#REF!</v>
      </c>
      <c r="DP101" s="34" t="e">
        <f>AND(#REF!,"AAAAAH1Pv3c=")</f>
        <v>#REF!</v>
      </c>
      <c r="DQ101" s="34" t="e">
        <f>AND(#REF!,"AAAAAH1Pv3g=")</f>
        <v>#REF!</v>
      </c>
      <c r="DR101" s="34" t="e">
        <f>AND(#REF!,"AAAAAH1Pv3k=")</f>
        <v>#REF!</v>
      </c>
      <c r="DS101" s="34" t="e">
        <f>AND(#REF!,"AAAAAH1Pv3o=")</f>
        <v>#REF!</v>
      </c>
      <c r="DT101" s="34" t="e">
        <f>AND(#REF!,"AAAAAH1Pv3s=")</f>
        <v>#REF!</v>
      </c>
      <c r="DU101" s="34" t="e">
        <f>AND(#REF!,"AAAAAH1Pv3w=")</f>
        <v>#REF!</v>
      </c>
      <c r="DV101" s="34" t="e">
        <f>AND(#REF!,"AAAAAH1Pv30=")</f>
        <v>#REF!</v>
      </c>
      <c r="DW101" s="34" t="e">
        <f>AND(#REF!,"AAAAAH1Pv34=")</f>
        <v>#REF!</v>
      </c>
      <c r="DX101" s="34" t="e">
        <f>AND(#REF!,"AAAAAH1Pv38=")</f>
        <v>#REF!</v>
      </c>
      <c r="DY101" s="34" t="e">
        <f>AND(#REF!,"AAAAAH1Pv4A=")</f>
        <v>#REF!</v>
      </c>
      <c r="DZ101" s="34" t="e">
        <f>IF(#REF!,"AAAAAH1Pv4E=",0)</f>
        <v>#REF!</v>
      </c>
      <c r="EA101" s="34" t="e">
        <f>AND(#REF!,"AAAAAH1Pv4I=")</f>
        <v>#REF!</v>
      </c>
      <c r="EB101" s="34" t="e">
        <f>AND(#REF!,"AAAAAH1Pv4M=")</f>
        <v>#REF!</v>
      </c>
      <c r="EC101" s="34" t="e">
        <f>AND(#REF!,"AAAAAH1Pv4Q=")</f>
        <v>#REF!</v>
      </c>
      <c r="ED101" s="34" t="e">
        <f>AND(#REF!,"AAAAAH1Pv4U=")</f>
        <v>#REF!</v>
      </c>
      <c r="EE101" s="34" t="e">
        <f>AND(#REF!,"AAAAAH1Pv4Y=")</f>
        <v>#REF!</v>
      </c>
      <c r="EF101" s="34" t="e">
        <f>AND(#REF!,"AAAAAH1Pv4c=")</f>
        <v>#REF!</v>
      </c>
      <c r="EG101" s="34" t="e">
        <f>AND(#REF!,"AAAAAH1Pv4g=")</f>
        <v>#REF!</v>
      </c>
      <c r="EH101" s="34" t="e">
        <f>AND(#REF!,"AAAAAH1Pv4k=")</f>
        <v>#REF!</v>
      </c>
      <c r="EI101" s="34" t="e">
        <f>AND(#REF!,"AAAAAH1Pv4o=")</f>
        <v>#REF!</v>
      </c>
      <c r="EJ101" s="34" t="e">
        <f>AND(#REF!,"AAAAAH1Pv4s=")</f>
        <v>#REF!</v>
      </c>
      <c r="EK101" s="34" t="e">
        <f>AND(#REF!,"AAAAAH1Pv4w=")</f>
        <v>#REF!</v>
      </c>
      <c r="EL101" s="34" t="e">
        <f>AND(#REF!,"AAAAAH1Pv40=")</f>
        <v>#REF!</v>
      </c>
      <c r="EM101" s="34" t="e">
        <f>AND(#REF!,"AAAAAH1Pv44=")</f>
        <v>#REF!</v>
      </c>
      <c r="EN101" s="34" t="e">
        <f>AND(#REF!,"AAAAAH1Pv48=")</f>
        <v>#REF!</v>
      </c>
      <c r="EO101" s="34" t="e">
        <f>AND(#REF!,"AAAAAH1Pv5A=")</f>
        <v>#REF!</v>
      </c>
      <c r="EP101" s="34" t="e">
        <f>AND(#REF!,"AAAAAH1Pv5E=")</f>
        <v>#REF!</v>
      </c>
      <c r="EQ101" s="34" t="e">
        <f>IF(#REF!,"AAAAAH1Pv5I=",0)</f>
        <v>#REF!</v>
      </c>
      <c r="ER101" s="34" t="e">
        <f>AND(#REF!,"AAAAAH1Pv5M=")</f>
        <v>#REF!</v>
      </c>
      <c r="ES101" s="34" t="e">
        <f>AND(#REF!,"AAAAAH1Pv5Q=")</f>
        <v>#REF!</v>
      </c>
      <c r="ET101" s="34" t="e">
        <f>AND(#REF!,"AAAAAH1Pv5U=")</f>
        <v>#REF!</v>
      </c>
      <c r="EU101" s="34" t="e">
        <f>AND(#REF!,"AAAAAH1Pv5Y=")</f>
        <v>#REF!</v>
      </c>
      <c r="EV101" s="34" t="e">
        <f>AND(#REF!,"AAAAAH1Pv5c=")</f>
        <v>#REF!</v>
      </c>
      <c r="EW101" s="34" t="e">
        <f>AND(#REF!,"AAAAAH1Pv5g=")</f>
        <v>#REF!</v>
      </c>
      <c r="EX101" s="34" t="e">
        <f>AND(#REF!,"AAAAAH1Pv5k=")</f>
        <v>#REF!</v>
      </c>
      <c r="EY101" s="34" t="e">
        <f>AND(#REF!,"AAAAAH1Pv5o=")</f>
        <v>#REF!</v>
      </c>
      <c r="EZ101" s="34" t="e">
        <f>AND(#REF!,"AAAAAH1Pv5s=")</f>
        <v>#REF!</v>
      </c>
      <c r="FA101" s="34" t="e">
        <f>AND(#REF!,"AAAAAH1Pv5w=")</f>
        <v>#REF!</v>
      </c>
      <c r="FB101" s="34" t="e">
        <f>AND(#REF!,"AAAAAH1Pv50=")</f>
        <v>#REF!</v>
      </c>
      <c r="FC101" s="34" t="e">
        <f>AND(#REF!,"AAAAAH1Pv54=")</f>
        <v>#REF!</v>
      </c>
      <c r="FD101" s="34" t="e">
        <f>AND(#REF!,"AAAAAH1Pv58=")</f>
        <v>#REF!</v>
      </c>
      <c r="FE101" s="34" t="e">
        <f>AND(#REF!,"AAAAAH1Pv6A=")</f>
        <v>#REF!</v>
      </c>
      <c r="FF101" s="34" t="e">
        <f>AND(#REF!,"AAAAAH1Pv6E=")</f>
        <v>#REF!</v>
      </c>
      <c r="FG101" s="34" t="e">
        <f>AND(#REF!,"AAAAAH1Pv6I=")</f>
        <v>#REF!</v>
      </c>
      <c r="FH101" s="34" t="e">
        <f>IF(#REF!,"AAAAAH1Pv6M=",0)</f>
        <v>#REF!</v>
      </c>
      <c r="FI101" s="34" t="e">
        <f>AND(#REF!,"AAAAAH1Pv6Q=")</f>
        <v>#REF!</v>
      </c>
      <c r="FJ101" s="34" t="e">
        <f>AND(#REF!,"AAAAAH1Pv6U=")</f>
        <v>#REF!</v>
      </c>
      <c r="FK101" s="34" t="e">
        <f>AND(#REF!,"AAAAAH1Pv6Y=")</f>
        <v>#REF!</v>
      </c>
      <c r="FL101" s="34" t="e">
        <f>AND(#REF!,"AAAAAH1Pv6c=")</f>
        <v>#REF!</v>
      </c>
      <c r="FM101" s="34" t="e">
        <f>AND(#REF!,"AAAAAH1Pv6g=")</f>
        <v>#REF!</v>
      </c>
      <c r="FN101" s="34" t="e">
        <f>AND(#REF!,"AAAAAH1Pv6k=")</f>
        <v>#REF!</v>
      </c>
      <c r="FO101" s="34" t="e">
        <f>AND(#REF!,"AAAAAH1Pv6o=")</f>
        <v>#REF!</v>
      </c>
      <c r="FP101" s="34" t="e">
        <f>AND(#REF!,"AAAAAH1Pv6s=")</f>
        <v>#REF!</v>
      </c>
      <c r="FQ101" s="34" t="e">
        <f>AND(#REF!,"AAAAAH1Pv6w=")</f>
        <v>#REF!</v>
      </c>
      <c r="FR101" s="34" t="e">
        <f>AND(#REF!,"AAAAAH1Pv60=")</f>
        <v>#REF!</v>
      </c>
      <c r="FS101" s="34" t="e">
        <f>AND(#REF!,"AAAAAH1Pv64=")</f>
        <v>#REF!</v>
      </c>
      <c r="FT101" s="34" t="e">
        <f>AND(#REF!,"AAAAAH1Pv68=")</f>
        <v>#REF!</v>
      </c>
      <c r="FU101" s="34" t="e">
        <f>AND(#REF!,"AAAAAH1Pv7A=")</f>
        <v>#REF!</v>
      </c>
      <c r="FV101" s="34" t="e">
        <f>AND(#REF!,"AAAAAH1Pv7E=")</f>
        <v>#REF!</v>
      </c>
      <c r="FW101" s="34" t="e">
        <f>AND(#REF!,"AAAAAH1Pv7I=")</f>
        <v>#REF!</v>
      </c>
      <c r="FX101" s="34" t="e">
        <f>AND(#REF!,"AAAAAH1Pv7M=")</f>
        <v>#REF!</v>
      </c>
      <c r="FY101" s="34" t="e">
        <f>IF(#REF!,"AAAAAH1Pv7Q=",0)</f>
        <v>#REF!</v>
      </c>
      <c r="FZ101" s="34" t="e">
        <f>AND(#REF!,"AAAAAH1Pv7U=")</f>
        <v>#REF!</v>
      </c>
      <c r="GA101" s="34" t="e">
        <f>AND(#REF!,"AAAAAH1Pv7Y=")</f>
        <v>#REF!</v>
      </c>
      <c r="GB101" s="34" t="e">
        <f>AND(#REF!,"AAAAAH1Pv7c=")</f>
        <v>#REF!</v>
      </c>
      <c r="GC101" s="34" t="e">
        <f>AND(#REF!,"AAAAAH1Pv7g=")</f>
        <v>#REF!</v>
      </c>
      <c r="GD101" s="34" t="e">
        <f>AND(#REF!,"AAAAAH1Pv7k=")</f>
        <v>#REF!</v>
      </c>
      <c r="GE101" s="34" t="e">
        <f>AND(#REF!,"AAAAAH1Pv7o=")</f>
        <v>#REF!</v>
      </c>
      <c r="GF101" s="34" t="e">
        <f>AND(#REF!,"AAAAAH1Pv7s=")</f>
        <v>#REF!</v>
      </c>
      <c r="GG101" s="34" t="e">
        <f>AND(#REF!,"AAAAAH1Pv7w=")</f>
        <v>#REF!</v>
      </c>
      <c r="GH101" s="34" t="e">
        <f>AND(#REF!,"AAAAAH1Pv70=")</f>
        <v>#REF!</v>
      </c>
      <c r="GI101" s="34" t="e">
        <f>AND(#REF!,"AAAAAH1Pv74=")</f>
        <v>#REF!</v>
      </c>
      <c r="GJ101" s="34" t="e">
        <f>AND(#REF!,"AAAAAH1Pv78=")</f>
        <v>#REF!</v>
      </c>
      <c r="GK101" s="34" t="e">
        <f>AND(#REF!,"AAAAAH1Pv8A=")</f>
        <v>#REF!</v>
      </c>
      <c r="GL101" s="34" t="e">
        <f>AND(#REF!,"AAAAAH1Pv8E=")</f>
        <v>#REF!</v>
      </c>
      <c r="GM101" s="34" t="e">
        <f>AND(#REF!,"AAAAAH1Pv8I=")</f>
        <v>#REF!</v>
      </c>
      <c r="GN101" s="34" t="e">
        <f>AND(#REF!,"AAAAAH1Pv8M=")</f>
        <v>#REF!</v>
      </c>
      <c r="GO101" s="34" t="e">
        <f>AND(#REF!,"AAAAAH1Pv8Q=")</f>
        <v>#REF!</v>
      </c>
      <c r="GP101" s="34" t="e">
        <f>IF(#REF!,"AAAAAH1Pv8U=",0)</f>
        <v>#REF!</v>
      </c>
      <c r="GQ101" s="34" t="e">
        <f>AND(#REF!,"AAAAAH1Pv8Y=")</f>
        <v>#REF!</v>
      </c>
      <c r="GR101" s="34" t="e">
        <f>AND(#REF!,"AAAAAH1Pv8c=")</f>
        <v>#REF!</v>
      </c>
      <c r="GS101" s="34" t="e">
        <f>AND(#REF!,"AAAAAH1Pv8g=")</f>
        <v>#REF!</v>
      </c>
      <c r="GT101" s="34" t="e">
        <f>AND(#REF!,"AAAAAH1Pv8k=")</f>
        <v>#REF!</v>
      </c>
      <c r="GU101" s="34" t="e">
        <f>AND(#REF!,"AAAAAH1Pv8o=")</f>
        <v>#REF!</v>
      </c>
      <c r="GV101" s="34" t="e">
        <f>AND(#REF!,"AAAAAH1Pv8s=")</f>
        <v>#REF!</v>
      </c>
      <c r="GW101" s="34" t="e">
        <f>AND(#REF!,"AAAAAH1Pv8w=")</f>
        <v>#REF!</v>
      </c>
      <c r="GX101" s="34" t="e">
        <f>AND(#REF!,"AAAAAH1Pv80=")</f>
        <v>#REF!</v>
      </c>
      <c r="GY101" s="34" t="e">
        <f>AND(#REF!,"AAAAAH1Pv84=")</f>
        <v>#REF!</v>
      </c>
      <c r="GZ101" s="34" t="e">
        <f>AND(#REF!,"AAAAAH1Pv88=")</f>
        <v>#REF!</v>
      </c>
      <c r="HA101" s="34" t="e">
        <f>AND(#REF!,"AAAAAH1Pv9A=")</f>
        <v>#REF!</v>
      </c>
      <c r="HB101" s="34" t="e">
        <f>AND(#REF!,"AAAAAH1Pv9E=")</f>
        <v>#REF!</v>
      </c>
      <c r="HC101" s="34" t="e">
        <f>AND(#REF!,"AAAAAH1Pv9I=")</f>
        <v>#REF!</v>
      </c>
      <c r="HD101" s="34" t="e">
        <f>AND(#REF!,"AAAAAH1Pv9M=")</f>
        <v>#REF!</v>
      </c>
      <c r="HE101" s="34" t="e">
        <f>AND(#REF!,"AAAAAH1Pv9Q=")</f>
        <v>#REF!</v>
      </c>
      <c r="HF101" s="34" t="e">
        <f>AND(#REF!,"AAAAAH1Pv9U=")</f>
        <v>#REF!</v>
      </c>
      <c r="HG101" s="34" t="e">
        <f>IF(#REF!,"AAAAAH1Pv9Y=",0)</f>
        <v>#REF!</v>
      </c>
      <c r="HH101" s="34" t="e">
        <f>AND(#REF!,"AAAAAH1Pv9c=")</f>
        <v>#REF!</v>
      </c>
      <c r="HI101" s="34" t="e">
        <f>AND(#REF!,"AAAAAH1Pv9g=")</f>
        <v>#REF!</v>
      </c>
      <c r="HJ101" s="34" t="e">
        <f>AND(#REF!,"AAAAAH1Pv9k=")</f>
        <v>#REF!</v>
      </c>
      <c r="HK101" s="34" t="e">
        <f>AND(#REF!,"AAAAAH1Pv9o=")</f>
        <v>#REF!</v>
      </c>
      <c r="HL101" s="34" t="e">
        <f>AND(#REF!,"AAAAAH1Pv9s=")</f>
        <v>#REF!</v>
      </c>
      <c r="HM101" s="34" t="e">
        <f>AND(#REF!,"AAAAAH1Pv9w=")</f>
        <v>#REF!</v>
      </c>
      <c r="HN101" s="34" t="e">
        <f>AND(#REF!,"AAAAAH1Pv90=")</f>
        <v>#REF!</v>
      </c>
      <c r="HO101" s="34" t="e">
        <f>AND(#REF!,"AAAAAH1Pv94=")</f>
        <v>#REF!</v>
      </c>
      <c r="HP101" s="34" t="e">
        <f>AND(#REF!,"AAAAAH1Pv98=")</f>
        <v>#REF!</v>
      </c>
      <c r="HQ101" s="34" t="e">
        <f>AND(#REF!,"AAAAAH1Pv+A=")</f>
        <v>#REF!</v>
      </c>
      <c r="HR101" s="34" t="e">
        <f>AND(#REF!,"AAAAAH1Pv+E=")</f>
        <v>#REF!</v>
      </c>
      <c r="HS101" s="34" t="e">
        <f>AND(#REF!,"AAAAAH1Pv+I=")</f>
        <v>#REF!</v>
      </c>
      <c r="HT101" s="34" t="e">
        <f>AND(#REF!,"AAAAAH1Pv+M=")</f>
        <v>#REF!</v>
      </c>
      <c r="HU101" s="34" t="e">
        <f>AND(#REF!,"AAAAAH1Pv+Q=")</f>
        <v>#REF!</v>
      </c>
      <c r="HV101" s="34" t="e">
        <f>AND(#REF!,"AAAAAH1Pv+U=")</f>
        <v>#REF!</v>
      </c>
      <c r="HW101" s="34" t="e">
        <f>AND(#REF!,"AAAAAH1Pv+Y=")</f>
        <v>#REF!</v>
      </c>
      <c r="HX101" s="34" t="e">
        <f>IF(#REF!,"AAAAAH1Pv+c=",0)</f>
        <v>#REF!</v>
      </c>
      <c r="HY101" s="34" t="e">
        <f>AND(#REF!,"AAAAAH1Pv+g=")</f>
        <v>#REF!</v>
      </c>
      <c r="HZ101" s="34" t="e">
        <f>AND(#REF!,"AAAAAH1Pv+k=")</f>
        <v>#REF!</v>
      </c>
      <c r="IA101" s="34" t="e">
        <f>AND(#REF!,"AAAAAH1Pv+o=")</f>
        <v>#REF!</v>
      </c>
      <c r="IB101" s="34" t="e">
        <f>AND(#REF!,"AAAAAH1Pv+s=")</f>
        <v>#REF!</v>
      </c>
      <c r="IC101" s="34" t="e">
        <f>AND(#REF!,"AAAAAH1Pv+w=")</f>
        <v>#REF!</v>
      </c>
      <c r="ID101" s="34" t="e">
        <f>AND(#REF!,"AAAAAH1Pv+0=")</f>
        <v>#REF!</v>
      </c>
      <c r="IE101" s="34" t="e">
        <f>AND(#REF!,"AAAAAH1Pv+4=")</f>
        <v>#REF!</v>
      </c>
      <c r="IF101" s="34" t="e">
        <f>AND(#REF!,"AAAAAH1Pv+8=")</f>
        <v>#REF!</v>
      </c>
      <c r="IG101" s="34" t="e">
        <f>AND(#REF!,"AAAAAH1Pv/A=")</f>
        <v>#REF!</v>
      </c>
      <c r="IH101" s="34" t="e">
        <f>AND(#REF!,"AAAAAH1Pv/E=")</f>
        <v>#REF!</v>
      </c>
      <c r="II101" s="34" t="e">
        <f>AND(#REF!,"AAAAAH1Pv/I=")</f>
        <v>#REF!</v>
      </c>
      <c r="IJ101" s="34" t="e">
        <f>AND(#REF!,"AAAAAH1Pv/M=")</f>
        <v>#REF!</v>
      </c>
      <c r="IK101" s="34" t="e">
        <f>AND(#REF!,"AAAAAH1Pv/Q=")</f>
        <v>#REF!</v>
      </c>
      <c r="IL101" s="34" t="e">
        <f>AND(#REF!,"AAAAAH1Pv/U=")</f>
        <v>#REF!</v>
      </c>
      <c r="IM101" s="34" t="e">
        <f>AND(#REF!,"AAAAAH1Pv/Y=")</f>
        <v>#REF!</v>
      </c>
      <c r="IN101" s="34" t="e">
        <f>AND(#REF!,"AAAAAH1Pv/c=")</f>
        <v>#REF!</v>
      </c>
      <c r="IO101" s="34" t="e">
        <f>IF(#REF!,"AAAAAH1Pv/g=",0)</f>
        <v>#REF!</v>
      </c>
      <c r="IP101" s="34" t="e">
        <f>AND(#REF!,"AAAAAH1Pv/k=")</f>
        <v>#REF!</v>
      </c>
      <c r="IQ101" s="34" t="e">
        <f>AND(#REF!,"AAAAAH1Pv/o=")</f>
        <v>#REF!</v>
      </c>
      <c r="IR101" s="34" t="e">
        <f>AND(#REF!,"AAAAAH1Pv/s=")</f>
        <v>#REF!</v>
      </c>
      <c r="IS101" s="34" t="e">
        <f>AND(#REF!,"AAAAAH1Pv/w=")</f>
        <v>#REF!</v>
      </c>
      <c r="IT101" s="34" t="e">
        <f>AND(#REF!,"AAAAAH1Pv/0=")</f>
        <v>#REF!</v>
      </c>
      <c r="IU101" s="34" t="e">
        <f>AND(#REF!,"AAAAAH1Pv/4=")</f>
        <v>#REF!</v>
      </c>
      <c r="IV101" s="34" t="e">
        <f>AND(#REF!,"AAAAAH1Pv/8=")</f>
        <v>#REF!</v>
      </c>
    </row>
    <row r="102" spans="1:256" ht="12.75" customHeight="1" x14ac:dyDescent="0.2">
      <c r="A102" s="34" t="e">
        <f>AND(#REF!,"AAAAAD/f1wA=")</f>
        <v>#REF!</v>
      </c>
      <c r="B102" s="34" t="e">
        <f>AND(#REF!,"AAAAAD/f1wE=")</f>
        <v>#REF!</v>
      </c>
      <c r="C102" s="34" t="e">
        <f>AND(#REF!,"AAAAAD/f1wI=")</f>
        <v>#REF!</v>
      </c>
      <c r="D102" s="34" t="e">
        <f>AND(#REF!,"AAAAAD/f1wM=")</f>
        <v>#REF!</v>
      </c>
      <c r="E102" s="34" t="e">
        <f>AND(#REF!,"AAAAAD/f1wQ=")</f>
        <v>#REF!</v>
      </c>
      <c r="F102" s="34" t="e">
        <f>AND(#REF!,"AAAAAD/f1wU=")</f>
        <v>#REF!</v>
      </c>
      <c r="G102" s="34" t="e">
        <f>AND(#REF!,"AAAAAD/f1wY=")</f>
        <v>#REF!</v>
      </c>
      <c r="H102" s="34" t="e">
        <f>AND(#REF!,"AAAAAD/f1wc=")</f>
        <v>#REF!</v>
      </c>
      <c r="I102" s="34" t="e">
        <f>AND(#REF!,"AAAAAD/f1wg=")</f>
        <v>#REF!</v>
      </c>
      <c r="J102" s="34" t="e">
        <f>IF(#REF!,"AAAAAD/f1wk=",0)</f>
        <v>#REF!</v>
      </c>
      <c r="K102" s="34" t="e">
        <f>AND(#REF!,"AAAAAD/f1wo=")</f>
        <v>#REF!</v>
      </c>
      <c r="L102" s="34" t="e">
        <f>AND(#REF!,"AAAAAD/f1ws=")</f>
        <v>#REF!</v>
      </c>
      <c r="M102" s="34" t="e">
        <f>AND(#REF!,"AAAAAD/f1ww=")</f>
        <v>#REF!</v>
      </c>
      <c r="N102" s="34" t="e">
        <f>AND(#REF!,"AAAAAD/f1w0=")</f>
        <v>#REF!</v>
      </c>
      <c r="O102" s="34" t="e">
        <f>AND(#REF!,"AAAAAD/f1w4=")</f>
        <v>#REF!</v>
      </c>
      <c r="P102" s="34" t="e">
        <f>AND(#REF!,"AAAAAD/f1w8=")</f>
        <v>#REF!</v>
      </c>
      <c r="Q102" s="34" t="e">
        <f>AND(#REF!,"AAAAAD/f1xA=")</f>
        <v>#REF!</v>
      </c>
      <c r="R102" s="34" t="e">
        <f>AND(#REF!,"AAAAAD/f1xE=")</f>
        <v>#REF!</v>
      </c>
      <c r="S102" s="34" t="e">
        <f>AND(#REF!,"AAAAAD/f1xI=")</f>
        <v>#REF!</v>
      </c>
      <c r="T102" s="34" t="e">
        <f>AND(#REF!,"AAAAAD/f1xM=")</f>
        <v>#REF!</v>
      </c>
      <c r="U102" s="34" t="e">
        <f>AND(#REF!,"AAAAAD/f1xQ=")</f>
        <v>#REF!</v>
      </c>
      <c r="V102" s="34" t="e">
        <f>AND(#REF!,"AAAAAD/f1xU=")</f>
        <v>#REF!</v>
      </c>
      <c r="W102" s="34" t="e">
        <f>AND(#REF!,"AAAAAD/f1xY=")</f>
        <v>#REF!</v>
      </c>
      <c r="X102" s="34" t="e">
        <f>AND(#REF!,"AAAAAD/f1xc=")</f>
        <v>#REF!</v>
      </c>
      <c r="Y102" s="34" t="e">
        <f>AND(#REF!,"AAAAAD/f1xg=")</f>
        <v>#REF!</v>
      </c>
      <c r="Z102" s="34" t="e">
        <f>AND(#REF!,"AAAAAD/f1xk=")</f>
        <v>#REF!</v>
      </c>
      <c r="AA102" s="34" t="e">
        <f>IF(#REF!,"AAAAAD/f1xo=",0)</f>
        <v>#REF!</v>
      </c>
      <c r="AB102" s="34" t="e">
        <f>AND(#REF!,"AAAAAD/f1xs=")</f>
        <v>#REF!</v>
      </c>
      <c r="AC102" s="34" t="e">
        <f>AND(#REF!,"AAAAAD/f1xw=")</f>
        <v>#REF!</v>
      </c>
      <c r="AD102" s="34" t="e">
        <f>AND(#REF!,"AAAAAD/f1x0=")</f>
        <v>#REF!</v>
      </c>
      <c r="AE102" s="34" t="e">
        <f>AND(#REF!,"AAAAAD/f1x4=")</f>
        <v>#REF!</v>
      </c>
      <c r="AF102" s="34" t="e">
        <f>AND(#REF!,"AAAAAD/f1x8=")</f>
        <v>#REF!</v>
      </c>
      <c r="AG102" s="34" t="e">
        <f>AND(#REF!,"AAAAAD/f1yA=")</f>
        <v>#REF!</v>
      </c>
      <c r="AH102" s="34" t="e">
        <f>AND(#REF!,"AAAAAD/f1yE=")</f>
        <v>#REF!</v>
      </c>
      <c r="AI102" s="34" t="e">
        <f>AND(#REF!,"AAAAAD/f1yI=")</f>
        <v>#REF!</v>
      </c>
      <c r="AJ102" s="34" t="e">
        <f>AND(#REF!,"AAAAAD/f1yM=")</f>
        <v>#REF!</v>
      </c>
      <c r="AK102" s="34" t="e">
        <f>AND(#REF!,"AAAAAD/f1yQ=")</f>
        <v>#REF!</v>
      </c>
      <c r="AL102" s="34" t="e">
        <f>AND(#REF!,"AAAAAD/f1yU=")</f>
        <v>#REF!</v>
      </c>
      <c r="AM102" s="34" t="e">
        <f>AND(#REF!,"AAAAAD/f1yY=")</f>
        <v>#REF!</v>
      </c>
      <c r="AN102" s="34" t="e">
        <f>AND(#REF!,"AAAAAD/f1yc=")</f>
        <v>#REF!</v>
      </c>
      <c r="AO102" s="34" t="e">
        <f>AND(#REF!,"AAAAAD/f1yg=")</f>
        <v>#REF!</v>
      </c>
      <c r="AP102" s="34" t="e">
        <f>AND(#REF!,"AAAAAD/f1yk=")</f>
        <v>#REF!</v>
      </c>
      <c r="AQ102" s="34" t="e">
        <f>AND(#REF!,"AAAAAD/f1yo=")</f>
        <v>#REF!</v>
      </c>
      <c r="AR102" s="34" t="e">
        <f>IF(#REF!,"AAAAAD/f1ys=",0)</f>
        <v>#REF!</v>
      </c>
      <c r="AS102" s="34" t="e">
        <f>AND(#REF!,"AAAAAD/f1yw=")</f>
        <v>#REF!</v>
      </c>
      <c r="AT102" s="34" t="e">
        <f>AND(#REF!,"AAAAAD/f1y0=")</f>
        <v>#REF!</v>
      </c>
      <c r="AU102" s="34" t="e">
        <f>AND(#REF!,"AAAAAD/f1y4=")</f>
        <v>#REF!</v>
      </c>
      <c r="AV102" s="34" t="e">
        <f>AND(#REF!,"AAAAAD/f1y8=")</f>
        <v>#REF!</v>
      </c>
      <c r="AW102" s="34" t="e">
        <f>AND(#REF!,"AAAAAD/f1zA=")</f>
        <v>#REF!</v>
      </c>
      <c r="AX102" s="34" t="e">
        <f>AND(#REF!,"AAAAAD/f1zE=")</f>
        <v>#REF!</v>
      </c>
      <c r="AY102" s="34" t="e">
        <f>AND(#REF!,"AAAAAD/f1zI=")</f>
        <v>#REF!</v>
      </c>
      <c r="AZ102" s="34" t="e">
        <f>AND(#REF!,"AAAAAD/f1zM=")</f>
        <v>#REF!</v>
      </c>
      <c r="BA102" s="34" t="e">
        <f>AND(#REF!,"AAAAAD/f1zQ=")</f>
        <v>#REF!</v>
      </c>
      <c r="BB102" s="34" t="e">
        <f>AND(#REF!,"AAAAAD/f1zU=")</f>
        <v>#REF!</v>
      </c>
      <c r="BC102" s="34" t="e">
        <f>AND(#REF!,"AAAAAD/f1zY=")</f>
        <v>#REF!</v>
      </c>
      <c r="BD102" s="34" t="e">
        <f>AND(#REF!,"AAAAAD/f1zc=")</f>
        <v>#REF!</v>
      </c>
      <c r="BE102" s="34" t="e">
        <f>AND(#REF!,"AAAAAD/f1zg=")</f>
        <v>#REF!</v>
      </c>
      <c r="BF102" s="34" t="e">
        <f>AND(#REF!,"AAAAAD/f1zk=")</f>
        <v>#REF!</v>
      </c>
      <c r="BG102" s="34" t="e">
        <f>AND(#REF!,"AAAAAD/f1zo=")</f>
        <v>#REF!</v>
      </c>
      <c r="BH102" s="34" t="e">
        <f>AND(#REF!,"AAAAAD/f1zs=")</f>
        <v>#REF!</v>
      </c>
      <c r="BI102" s="34" t="e">
        <f>IF(#REF!,"AAAAAD/f1zw=",0)</f>
        <v>#REF!</v>
      </c>
      <c r="BJ102" s="34" t="e">
        <f>AND(#REF!,"AAAAAD/f1z0=")</f>
        <v>#REF!</v>
      </c>
      <c r="BK102" s="34" t="e">
        <f>AND(#REF!,"AAAAAD/f1z4=")</f>
        <v>#REF!</v>
      </c>
      <c r="BL102" s="34" t="e">
        <f>AND(#REF!,"AAAAAD/f1z8=")</f>
        <v>#REF!</v>
      </c>
      <c r="BM102" s="34" t="e">
        <f>AND(#REF!,"AAAAAD/f10A=")</f>
        <v>#REF!</v>
      </c>
      <c r="BN102" s="34" t="e">
        <f>AND(#REF!,"AAAAAD/f10E=")</f>
        <v>#REF!</v>
      </c>
      <c r="BO102" s="34" t="e">
        <f>AND(#REF!,"AAAAAD/f10I=")</f>
        <v>#REF!</v>
      </c>
      <c r="BP102" s="34" t="e">
        <f>AND(#REF!,"AAAAAD/f10M=")</f>
        <v>#REF!</v>
      </c>
      <c r="BQ102" s="34" t="e">
        <f>AND(#REF!,"AAAAAD/f10Q=")</f>
        <v>#REF!</v>
      </c>
      <c r="BR102" s="34" t="e">
        <f>AND(#REF!,"AAAAAD/f10U=")</f>
        <v>#REF!</v>
      </c>
      <c r="BS102" s="34" t="e">
        <f>AND(#REF!,"AAAAAD/f10Y=")</f>
        <v>#REF!</v>
      </c>
      <c r="BT102" s="34" t="e">
        <f>AND(#REF!,"AAAAAD/f10c=")</f>
        <v>#REF!</v>
      </c>
      <c r="BU102" s="34" t="e">
        <f>AND(#REF!,"AAAAAD/f10g=")</f>
        <v>#REF!</v>
      </c>
      <c r="BV102" s="34" t="e">
        <f>AND(#REF!,"AAAAAD/f10k=")</f>
        <v>#REF!</v>
      </c>
      <c r="BW102" s="34" t="e">
        <f>AND(#REF!,"AAAAAD/f10o=")</f>
        <v>#REF!</v>
      </c>
      <c r="BX102" s="34" t="e">
        <f>AND(#REF!,"AAAAAD/f10s=")</f>
        <v>#REF!</v>
      </c>
      <c r="BY102" s="34" t="e">
        <f>AND(#REF!,"AAAAAD/f10w=")</f>
        <v>#REF!</v>
      </c>
      <c r="BZ102" s="34" t="e">
        <f>IF(#REF!,"AAAAAD/f100=",0)</f>
        <v>#REF!</v>
      </c>
      <c r="CA102" s="34" t="e">
        <f>AND(#REF!,"AAAAAD/f104=")</f>
        <v>#REF!</v>
      </c>
      <c r="CB102" s="34" t="e">
        <f>AND(#REF!,"AAAAAD/f108=")</f>
        <v>#REF!</v>
      </c>
      <c r="CC102" s="34" t="e">
        <f>AND(#REF!,"AAAAAD/f11A=")</f>
        <v>#REF!</v>
      </c>
      <c r="CD102" s="34" t="e">
        <f>AND(#REF!,"AAAAAD/f11E=")</f>
        <v>#REF!</v>
      </c>
      <c r="CE102" s="34" t="e">
        <f>AND(#REF!,"AAAAAD/f11I=")</f>
        <v>#REF!</v>
      </c>
      <c r="CF102" s="34" t="e">
        <f>AND(#REF!,"AAAAAD/f11M=")</f>
        <v>#REF!</v>
      </c>
      <c r="CG102" s="34" t="e">
        <f>AND(#REF!,"AAAAAD/f11Q=")</f>
        <v>#REF!</v>
      </c>
      <c r="CH102" s="34" t="e">
        <f>AND(#REF!,"AAAAAD/f11U=")</f>
        <v>#REF!</v>
      </c>
      <c r="CI102" s="34" t="e">
        <f>AND(#REF!,"AAAAAD/f11Y=")</f>
        <v>#REF!</v>
      </c>
      <c r="CJ102" s="34" t="e">
        <f>AND(#REF!,"AAAAAD/f11c=")</f>
        <v>#REF!</v>
      </c>
      <c r="CK102" s="34" t="e">
        <f>AND(#REF!,"AAAAAD/f11g=")</f>
        <v>#REF!</v>
      </c>
      <c r="CL102" s="34" t="e">
        <f>AND(#REF!,"AAAAAD/f11k=")</f>
        <v>#REF!</v>
      </c>
      <c r="CM102" s="34" t="e">
        <f>AND(#REF!,"AAAAAD/f11o=")</f>
        <v>#REF!</v>
      </c>
      <c r="CN102" s="34" t="e">
        <f>AND(#REF!,"AAAAAD/f11s=")</f>
        <v>#REF!</v>
      </c>
      <c r="CO102" s="34" t="e">
        <f>AND(#REF!,"AAAAAD/f11w=")</f>
        <v>#REF!</v>
      </c>
      <c r="CP102" s="34" t="e">
        <f>AND(#REF!,"AAAAAD/f110=")</f>
        <v>#REF!</v>
      </c>
      <c r="CQ102" s="34" t="e">
        <f>IF(#REF!,"AAAAAD/f114=",0)</f>
        <v>#REF!</v>
      </c>
      <c r="CR102" s="34" t="e">
        <f>AND(#REF!,"AAAAAD/f118=")</f>
        <v>#REF!</v>
      </c>
      <c r="CS102" s="34" t="e">
        <f>AND(#REF!,"AAAAAD/f12A=")</f>
        <v>#REF!</v>
      </c>
      <c r="CT102" s="34" t="e">
        <f>AND(#REF!,"AAAAAD/f12E=")</f>
        <v>#REF!</v>
      </c>
      <c r="CU102" s="34" t="e">
        <f>AND(#REF!,"AAAAAD/f12I=")</f>
        <v>#REF!</v>
      </c>
      <c r="CV102" s="34" t="e">
        <f>AND(#REF!,"AAAAAD/f12M=")</f>
        <v>#REF!</v>
      </c>
      <c r="CW102" s="34" t="e">
        <f>AND(#REF!,"AAAAAD/f12Q=")</f>
        <v>#REF!</v>
      </c>
      <c r="CX102" s="34" t="e">
        <f>AND(#REF!,"AAAAAD/f12U=")</f>
        <v>#REF!</v>
      </c>
      <c r="CY102" s="34" t="e">
        <f>AND(#REF!,"AAAAAD/f12Y=")</f>
        <v>#REF!</v>
      </c>
      <c r="CZ102" s="34" t="e">
        <f>AND(#REF!,"AAAAAD/f12c=")</f>
        <v>#REF!</v>
      </c>
      <c r="DA102" s="34" t="e">
        <f>AND(#REF!,"AAAAAD/f12g=")</f>
        <v>#REF!</v>
      </c>
      <c r="DB102" s="34" t="e">
        <f>AND(#REF!,"AAAAAD/f12k=")</f>
        <v>#REF!</v>
      </c>
      <c r="DC102" s="34" t="e">
        <f>AND(#REF!,"AAAAAD/f12o=")</f>
        <v>#REF!</v>
      </c>
      <c r="DD102" s="34" t="e">
        <f>AND(#REF!,"AAAAAD/f12s=")</f>
        <v>#REF!</v>
      </c>
      <c r="DE102" s="34" t="e">
        <f>AND(#REF!,"AAAAAD/f12w=")</f>
        <v>#REF!</v>
      </c>
      <c r="DF102" s="34" t="e">
        <f>AND(#REF!,"AAAAAD/f120=")</f>
        <v>#REF!</v>
      </c>
      <c r="DG102" s="34" t="e">
        <f>AND(#REF!,"AAAAAD/f124=")</f>
        <v>#REF!</v>
      </c>
      <c r="DH102" s="34" t="e">
        <f>IF(#REF!,"AAAAAD/f128=",0)</f>
        <v>#REF!</v>
      </c>
      <c r="DI102" s="34" t="e">
        <f>AND(#REF!,"AAAAAD/f13A=")</f>
        <v>#REF!</v>
      </c>
      <c r="DJ102" s="34" t="e">
        <f>AND(#REF!,"AAAAAD/f13E=")</f>
        <v>#REF!</v>
      </c>
      <c r="DK102" s="34" t="e">
        <f>AND(#REF!,"AAAAAD/f13I=")</f>
        <v>#REF!</v>
      </c>
      <c r="DL102" s="34" t="e">
        <f>AND(#REF!,"AAAAAD/f13M=")</f>
        <v>#REF!</v>
      </c>
      <c r="DM102" s="34" t="e">
        <f>AND(#REF!,"AAAAAD/f13Q=")</f>
        <v>#REF!</v>
      </c>
      <c r="DN102" s="34" t="e">
        <f>AND(#REF!,"AAAAAD/f13U=")</f>
        <v>#REF!</v>
      </c>
      <c r="DO102" s="34" t="e">
        <f>AND(#REF!,"AAAAAD/f13Y=")</f>
        <v>#REF!</v>
      </c>
      <c r="DP102" s="34" t="e">
        <f>AND(#REF!,"AAAAAD/f13c=")</f>
        <v>#REF!</v>
      </c>
      <c r="DQ102" s="34" t="e">
        <f>AND(#REF!,"AAAAAD/f13g=")</f>
        <v>#REF!</v>
      </c>
      <c r="DR102" s="34" t="e">
        <f>AND(#REF!,"AAAAAD/f13k=")</f>
        <v>#REF!</v>
      </c>
      <c r="DS102" s="34" t="e">
        <f>AND(#REF!,"AAAAAD/f13o=")</f>
        <v>#REF!</v>
      </c>
      <c r="DT102" s="34" t="e">
        <f>AND(#REF!,"AAAAAD/f13s=")</f>
        <v>#REF!</v>
      </c>
      <c r="DU102" s="34" t="e">
        <f>AND(#REF!,"AAAAAD/f13w=")</f>
        <v>#REF!</v>
      </c>
      <c r="DV102" s="34" t="e">
        <f>AND(#REF!,"AAAAAD/f130=")</f>
        <v>#REF!</v>
      </c>
      <c r="DW102" s="34" t="e">
        <f>AND(#REF!,"AAAAAD/f134=")</f>
        <v>#REF!</v>
      </c>
      <c r="DX102" s="34" t="e">
        <f>AND(#REF!,"AAAAAD/f138=")</f>
        <v>#REF!</v>
      </c>
      <c r="DY102" s="34" t="e">
        <f>IF(#REF!,"AAAAAD/f14A=",0)</f>
        <v>#REF!</v>
      </c>
      <c r="DZ102" s="34" t="e">
        <f>AND(#REF!,"AAAAAD/f14E=")</f>
        <v>#REF!</v>
      </c>
      <c r="EA102" s="34" t="e">
        <f>AND(#REF!,"AAAAAD/f14I=")</f>
        <v>#REF!</v>
      </c>
      <c r="EB102" s="34" t="e">
        <f>AND(#REF!,"AAAAAD/f14M=")</f>
        <v>#REF!</v>
      </c>
      <c r="EC102" s="34" t="e">
        <f>AND(#REF!,"AAAAAD/f14Q=")</f>
        <v>#REF!</v>
      </c>
      <c r="ED102" s="34" t="e">
        <f>AND(#REF!,"AAAAAD/f14U=")</f>
        <v>#REF!</v>
      </c>
      <c r="EE102" s="34" t="e">
        <f>AND(#REF!,"AAAAAD/f14Y=")</f>
        <v>#REF!</v>
      </c>
      <c r="EF102" s="34" t="e">
        <f>AND(#REF!,"AAAAAD/f14c=")</f>
        <v>#REF!</v>
      </c>
      <c r="EG102" s="34" t="e">
        <f>AND(#REF!,"AAAAAD/f14g=")</f>
        <v>#REF!</v>
      </c>
      <c r="EH102" s="34" t="e">
        <f>AND(#REF!,"AAAAAD/f14k=")</f>
        <v>#REF!</v>
      </c>
      <c r="EI102" s="34" t="e">
        <f>AND(#REF!,"AAAAAD/f14o=")</f>
        <v>#REF!</v>
      </c>
      <c r="EJ102" s="34" t="e">
        <f>AND(#REF!,"AAAAAD/f14s=")</f>
        <v>#REF!</v>
      </c>
      <c r="EK102" s="34" t="e">
        <f>AND(#REF!,"AAAAAD/f14w=")</f>
        <v>#REF!</v>
      </c>
      <c r="EL102" s="34" t="e">
        <f>AND(#REF!,"AAAAAD/f140=")</f>
        <v>#REF!</v>
      </c>
      <c r="EM102" s="34" t="e">
        <f>AND(#REF!,"AAAAAD/f144=")</f>
        <v>#REF!</v>
      </c>
      <c r="EN102" s="34" t="e">
        <f>AND(#REF!,"AAAAAD/f148=")</f>
        <v>#REF!</v>
      </c>
      <c r="EO102" s="34" t="e">
        <f>AND(#REF!,"AAAAAD/f15A=")</f>
        <v>#REF!</v>
      </c>
      <c r="EP102" s="34" t="e">
        <f>IF(#REF!,"AAAAAD/f15E=",0)</f>
        <v>#REF!</v>
      </c>
      <c r="EQ102" s="34" t="e">
        <f>AND(#REF!,"AAAAAD/f15I=")</f>
        <v>#REF!</v>
      </c>
      <c r="ER102" s="34" t="e">
        <f>AND(#REF!,"AAAAAD/f15M=")</f>
        <v>#REF!</v>
      </c>
      <c r="ES102" s="34" t="e">
        <f>AND(#REF!,"AAAAAD/f15Q=")</f>
        <v>#REF!</v>
      </c>
      <c r="ET102" s="34" t="e">
        <f>AND(#REF!,"AAAAAD/f15U=")</f>
        <v>#REF!</v>
      </c>
      <c r="EU102" s="34" t="e">
        <f>AND(#REF!,"AAAAAD/f15Y=")</f>
        <v>#REF!</v>
      </c>
      <c r="EV102" s="34" t="e">
        <f>AND(#REF!,"AAAAAD/f15c=")</f>
        <v>#REF!</v>
      </c>
      <c r="EW102" s="34" t="e">
        <f>AND(#REF!,"AAAAAD/f15g=")</f>
        <v>#REF!</v>
      </c>
      <c r="EX102" s="34" t="e">
        <f>AND(#REF!,"AAAAAD/f15k=")</f>
        <v>#REF!</v>
      </c>
      <c r="EY102" s="34" t="e">
        <f>AND(#REF!,"AAAAAD/f15o=")</f>
        <v>#REF!</v>
      </c>
      <c r="EZ102" s="34" t="e">
        <f>AND(#REF!,"AAAAAD/f15s=")</f>
        <v>#REF!</v>
      </c>
      <c r="FA102" s="34" t="e">
        <f>AND(#REF!,"AAAAAD/f15w=")</f>
        <v>#REF!</v>
      </c>
      <c r="FB102" s="34" t="e">
        <f>AND(#REF!,"AAAAAD/f150=")</f>
        <v>#REF!</v>
      </c>
      <c r="FC102" s="34" t="e">
        <f>AND(#REF!,"AAAAAD/f154=")</f>
        <v>#REF!</v>
      </c>
      <c r="FD102" s="34" t="e">
        <f>AND(#REF!,"AAAAAD/f158=")</f>
        <v>#REF!</v>
      </c>
      <c r="FE102" s="34" t="e">
        <f>AND(#REF!,"AAAAAD/f16A=")</f>
        <v>#REF!</v>
      </c>
      <c r="FF102" s="34" t="e">
        <f>AND(#REF!,"AAAAAD/f16E=")</f>
        <v>#REF!</v>
      </c>
      <c r="FG102" s="34" t="e">
        <f>IF(#REF!,"AAAAAD/f16I=",0)</f>
        <v>#REF!</v>
      </c>
      <c r="FH102" s="34" t="e">
        <f>AND(#REF!,"AAAAAD/f16M=")</f>
        <v>#REF!</v>
      </c>
      <c r="FI102" s="34" t="e">
        <f>AND(#REF!,"AAAAAD/f16Q=")</f>
        <v>#REF!</v>
      </c>
      <c r="FJ102" s="34" t="e">
        <f>AND(#REF!,"AAAAAD/f16U=")</f>
        <v>#REF!</v>
      </c>
      <c r="FK102" s="34" t="e">
        <f>AND(#REF!,"AAAAAD/f16Y=")</f>
        <v>#REF!</v>
      </c>
      <c r="FL102" s="34" t="e">
        <f>AND(#REF!,"AAAAAD/f16c=")</f>
        <v>#REF!</v>
      </c>
      <c r="FM102" s="34" t="e">
        <f>AND(#REF!,"AAAAAD/f16g=")</f>
        <v>#REF!</v>
      </c>
      <c r="FN102" s="34" t="e">
        <f>AND(#REF!,"AAAAAD/f16k=")</f>
        <v>#REF!</v>
      </c>
      <c r="FO102" s="34" t="e">
        <f>AND(#REF!,"AAAAAD/f16o=")</f>
        <v>#REF!</v>
      </c>
      <c r="FP102" s="34" t="e">
        <f>AND(#REF!,"AAAAAD/f16s=")</f>
        <v>#REF!</v>
      </c>
      <c r="FQ102" s="34" t="e">
        <f>AND(#REF!,"AAAAAD/f16w=")</f>
        <v>#REF!</v>
      </c>
      <c r="FR102" s="34" t="e">
        <f>AND(#REF!,"AAAAAD/f160=")</f>
        <v>#REF!</v>
      </c>
      <c r="FS102" s="34" t="e">
        <f>AND(#REF!,"AAAAAD/f164=")</f>
        <v>#REF!</v>
      </c>
      <c r="FT102" s="34" t="e">
        <f>AND(#REF!,"AAAAAD/f168=")</f>
        <v>#REF!</v>
      </c>
      <c r="FU102" s="34" t="e">
        <f>AND(#REF!,"AAAAAD/f17A=")</f>
        <v>#REF!</v>
      </c>
      <c r="FV102" s="34" t="e">
        <f>AND(#REF!,"AAAAAD/f17E=")</f>
        <v>#REF!</v>
      </c>
      <c r="FW102" s="34" t="e">
        <f>AND(#REF!,"AAAAAD/f17I=")</f>
        <v>#REF!</v>
      </c>
      <c r="FX102" s="34" t="e">
        <f>IF(#REF!,"AAAAAD/f17M=",0)</f>
        <v>#REF!</v>
      </c>
      <c r="FY102" s="34" t="e">
        <f>AND(#REF!,"AAAAAD/f17Q=")</f>
        <v>#REF!</v>
      </c>
      <c r="FZ102" s="34" t="e">
        <f>AND(#REF!,"AAAAAD/f17U=")</f>
        <v>#REF!</v>
      </c>
      <c r="GA102" s="34" t="e">
        <f>AND(#REF!,"AAAAAD/f17Y=")</f>
        <v>#REF!</v>
      </c>
      <c r="GB102" s="34" t="e">
        <f>AND(#REF!,"AAAAAD/f17c=")</f>
        <v>#REF!</v>
      </c>
      <c r="GC102" s="34" t="e">
        <f>AND(#REF!,"AAAAAD/f17g=")</f>
        <v>#REF!</v>
      </c>
      <c r="GD102" s="34" t="e">
        <f>AND(#REF!,"AAAAAD/f17k=")</f>
        <v>#REF!</v>
      </c>
      <c r="GE102" s="34" t="e">
        <f>AND(#REF!,"AAAAAD/f17o=")</f>
        <v>#REF!</v>
      </c>
      <c r="GF102" s="34" t="e">
        <f>AND(#REF!,"AAAAAD/f17s=")</f>
        <v>#REF!</v>
      </c>
      <c r="GG102" s="34" t="e">
        <f>AND(#REF!,"AAAAAD/f17w=")</f>
        <v>#REF!</v>
      </c>
      <c r="GH102" s="34" t="e">
        <f>AND(#REF!,"AAAAAD/f170=")</f>
        <v>#REF!</v>
      </c>
      <c r="GI102" s="34" t="e">
        <f>AND(#REF!,"AAAAAD/f174=")</f>
        <v>#REF!</v>
      </c>
      <c r="GJ102" s="34" t="e">
        <f>AND(#REF!,"AAAAAD/f178=")</f>
        <v>#REF!</v>
      </c>
      <c r="GK102" s="34" t="e">
        <f>AND(#REF!,"AAAAAD/f18A=")</f>
        <v>#REF!</v>
      </c>
      <c r="GL102" s="34" t="e">
        <f>AND(#REF!,"AAAAAD/f18E=")</f>
        <v>#REF!</v>
      </c>
      <c r="GM102" s="34" t="e">
        <f>AND(#REF!,"AAAAAD/f18I=")</f>
        <v>#REF!</v>
      </c>
      <c r="GN102" s="34" t="e">
        <f>AND(#REF!,"AAAAAD/f18M=")</f>
        <v>#REF!</v>
      </c>
      <c r="GO102" s="34" t="e">
        <f>IF(#REF!,"AAAAAD/f18Q=",0)</f>
        <v>#REF!</v>
      </c>
      <c r="GP102" s="34" t="e">
        <f>AND(#REF!,"AAAAAD/f18U=")</f>
        <v>#REF!</v>
      </c>
      <c r="GQ102" s="34" t="e">
        <f>AND(#REF!,"AAAAAD/f18Y=")</f>
        <v>#REF!</v>
      </c>
      <c r="GR102" s="34" t="e">
        <f>AND(#REF!,"AAAAAD/f18c=")</f>
        <v>#REF!</v>
      </c>
      <c r="GS102" s="34" t="e">
        <f>AND(#REF!,"AAAAAD/f18g=")</f>
        <v>#REF!</v>
      </c>
      <c r="GT102" s="34" t="e">
        <f>AND(#REF!,"AAAAAD/f18k=")</f>
        <v>#REF!</v>
      </c>
      <c r="GU102" s="34" t="e">
        <f>AND(#REF!,"AAAAAD/f18o=")</f>
        <v>#REF!</v>
      </c>
      <c r="GV102" s="34" t="e">
        <f>AND(#REF!,"AAAAAD/f18s=")</f>
        <v>#REF!</v>
      </c>
      <c r="GW102" s="34" t="e">
        <f>AND(#REF!,"AAAAAD/f18w=")</f>
        <v>#REF!</v>
      </c>
      <c r="GX102" s="34" t="e">
        <f>AND(#REF!,"AAAAAD/f180=")</f>
        <v>#REF!</v>
      </c>
      <c r="GY102" s="34" t="e">
        <f>AND(#REF!,"AAAAAD/f184=")</f>
        <v>#REF!</v>
      </c>
      <c r="GZ102" s="34" t="e">
        <f>AND(#REF!,"AAAAAD/f188=")</f>
        <v>#REF!</v>
      </c>
      <c r="HA102" s="34" t="e">
        <f>AND(#REF!,"AAAAAD/f19A=")</f>
        <v>#REF!</v>
      </c>
      <c r="HB102" s="34" t="e">
        <f>AND(#REF!,"AAAAAD/f19E=")</f>
        <v>#REF!</v>
      </c>
      <c r="HC102" s="34" t="e">
        <f>AND(#REF!,"AAAAAD/f19I=")</f>
        <v>#REF!</v>
      </c>
      <c r="HD102" s="34" t="e">
        <f>AND(#REF!,"AAAAAD/f19M=")</f>
        <v>#REF!</v>
      </c>
      <c r="HE102" s="34" t="e">
        <f>AND(#REF!,"AAAAAD/f19Q=")</f>
        <v>#REF!</v>
      </c>
      <c r="HF102" s="34" t="e">
        <f>IF(#REF!,"AAAAAD/f19U=",0)</f>
        <v>#REF!</v>
      </c>
      <c r="HG102" s="34" t="e">
        <f>AND(#REF!,"AAAAAD/f19Y=")</f>
        <v>#REF!</v>
      </c>
      <c r="HH102" s="34" t="e">
        <f>AND(#REF!,"AAAAAD/f19c=")</f>
        <v>#REF!</v>
      </c>
      <c r="HI102" s="34" t="e">
        <f>AND(#REF!,"AAAAAD/f19g=")</f>
        <v>#REF!</v>
      </c>
      <c r="HJ102" s="34" t="e">
        <f>AND(#REF!,"AAAAAD/f19k=")</f>
        <v>#REF!</v>
      </c>
      <c r="HK102" s="34" t="e">
        <f>AND(#REF!,"AAAAAD/f19o=")</f>
        <v>#REF!</v>
      </c>
      <c r="HL102" s="34" t="e">
        <f>AND(#REF!,"AAAAAD/f19s=")</f>
        <v>#REF!</v>
      </c>
      <c r="HM102" s="34" t="e">
        <f>AND(#REF!,"AAAAAD/f19w=")</f>
        <v>#REF!</v>
      </c>
      <c r="HN102" s="34" t="e">
        <f>AND(#REF!,"AAAAAD/f190=")</f>
        <v>#REF!</v>
      </c>
      <c r="HO102" s="34" t="e">
        <f>AND(#REF!,"AAAAAD/f194=")</f>
        <v>#REF!</v>
      </c>
      <c r="HP102" s="34" t="e">
        <f>AND(#REF!,"AAAAAD/f198=")</f>
        <v>#REF!</v>
      </c>
      <c r="HQ102" s="34" t="e">
        <f>AND(#REF!,"AAAAAD/f1+A=")</f>
        <v>#REF!</v>
      </c>
      <c r="HR102" s="34" t="e">
        <f>AND(#REF!,"AAAAAD/f1+E=")</f>
        <v>#REF!</v>
      </c>
      <c r="HS102" s="34" t="e">
        <f>AND(#REF!,"AAAAAD/f1+I=")</f>
        <v>#REF!</v>
      </c>
      <c r="HT102" s="34" t="e">
        <f>AND(#REF!,"AAAAAD/f1+M=")</f>
        <v>#REF!</v>
      </c>
      <c r="HU102" s="34" t="e">
        <f>AND(#REF!,"AAAAAD/f1+Q=")</f>
        <v>#REF!</v>
      </c>
      <c r="HV102" s="34" t="e">
        <f>AND(#REF!,"AAAAAD/f1+U=")</f>
        <v>#REF!</v>
      </c>
      <c r="HW102" s="34" t="e">
        <f>IF(#REF!,"AAAAAD/f1+Y=",0)</f>
        <v>#REF!</v>
      </c>
      <c r="HX102" s="34" t="e">
        <f>AND(#REF!,"AAAAAD/f1+c=")</f>
        <v>#REF!</v>
      </c>
      <c r="HY102" s="34" t="e">
        <f>AND(#REF!,"AAAAAD/f1+g=")</f>
        <v>#REF!</v>
      </c>
      <c r="HZ102" s="34" t="e">
        <f>AND(#REF!,"AAAAAD/f1+k=")</f>
        <v>#REF!</v>
      </c>
      <c r="IA102" s="34" t="e">
        <f>AND(#REF!,"AAAAAD/f1+o=")</f>
        <v>#REF!</v>
      </c>
      <c r="IB102" s="34" t="e">
        <f>AND(#REF!,"AAAAAD/f1+s=")</f>
        <v>#REF!</v>
      </c>
      <c r="IC102" s="34" t="e">
        <f>AND(#REF!,"AAAAAD/f1+w=")</f>
        <v>#REF!</v>
      </c>
      <c r="ID102" s="34" t="e">
        <f>AND(#REF!,"AAAAAD/f1+0=")</f>
        <v>#REF!</v>
      </c>
      <c r="IE102" s="34" t="e">
        <f>AND(#REF!,"AAAAAD/f1+4=")</f>
        <v>#REF!</v>
      </c>
      <c r="IF102" s="34" t="e">
        <f>AND(#REF!,"AAAAAD/f1+8=")</f>
        <v>#REF!</v>
      </c>
      <c r="IG102" s="34" t="e">
        <f>AND(#REF!,"AAAAAD/f1/A=")</f>
        <v>#REF!</v>
      </c>
      <c r="IH102" s="34" t="e">
        <f>AND(#REF!,"AAAAAD/f1/E=")</f>
        <v>#REF!</v>
      </c>
      <c r="II102" s="34" t="e">
        <f>AND(#REF!,"AAAAAD/f1/I=")</f>
        <v>#REF!</v>
      </c>
      <c r="IJ102" s="34" t="e">
        <f>AND(#REF!,"AAAAAD/f1/M=")</f>
        <v>#REF!</v>
      </c>
      <c r="IK102" s="34" t="e">
        <f>AND(#REF!,"AAAAAD/f1/Q=")</f>
        <v>#REF!</v>
      </c>
      <c r="IL102" s="34" t="e">
        <f>AND(#REF!,"AAAAAD/f1/U=")</f>
        <v>#REF!</v>
      </c>
      <c r="IM102" s="34" t="e">
        <f>AND(#REF!,"AAAAAD/f1/Y=")</f>
        <v>#REF!</v>
      </c>
      <c r="IN102" s="34" t="e">
        <f>IF(#REF!,"AAAAAD/f1/c=",0)</f>
        <v>#REF!</v>
      </c>
      <c r="IO102" s="34" t="e">
        <f>AND(#REF!,"AAAAAD/f1/g=")</f>
        <v>#REF!</v>
      </c>
      <c r="IP102" s="34" t="e">
        <f>AND(#REF!,"AAAAAD/f1/k=")</f>
        <v>#REF!</v>
      </c>
      <c r="IQ102" s="34" t="e">
        <f>AND(#REF!,"AAAAAD/f1/o=")</f>
        <v>#REF!</v>
      </c>
      <c r="IR102" s="34" t="e">
        <f>AND(#REF!,"AAAAAD/f1/s=")</f>
        <v>#REF!</v>
      </c>
      <c r="IS102" s="34" t="e">
        <f>AND(#REF!,"AAAAAD/f1/w=")</f>
        <v>#REF!</v>
      </c>
      <c r="IT102" s="34" t="e">
        <f>AND(#REF!,"AAAAAD/f1/0=")</f>
        <v>#REF!</v>
      </c>
      <c r="IU102" s="34" t="e">
        <f>AND(#REF!,"AAAAAD/f1/4=")</f>
        <v>#REF!</v>
      </c>
      <c r="IV102" s="34" t="e">
        <f>AND(#REF!,"AAAAAD/f1/8=")</f>
        <v>#REF!</v>
      </c>
    </row>
    <row r="103" spans="1:256" ht="12.75" customHeight="1" x14ac:dyDescent="0.2">
      <c r="A103" s="34" t="e">
        <f>AND(#REF!,"AAAAAHx82wA=")</f>
        <v>#REF!</v>
      </c>
      <c r="B103" s="34" t="e">
        <f>AND(#REF!,"AAAAAHx82wE=")</f>
        <v>#REF!</v>
      </c>
      <c r="C103" s="34" t="e">
        <f>AND(#REF!,"AAAAAHx82wI=")</f>
        <v>#REF!</v>
      </c>
      <c r="D103" s="34" t="e">
        <f>AND(#REF!,"AAAAAHx82wM=")</f>
        <v>#REF!</v>
      </c>
      <c r="E103" s="34" t="e">
        <f>AND(#REF!,"AAAAAHx82wQ=")</f>
        <v>#REF!</v>
      </c>
      <c r="F103" s="34" t="e">
        <f>AND(#REF!,"AAAAAHx82wU=")</f>
        <v>#REF!</v>
      </c>
      <c r="G103" s="34" t="e">
        <f>AND(#REF!,"AAAAAHx82wY=")</f>
        <v>#REF!</v>
      </c>
      <c r="H103" s="34" t="e">
        <f>AND(#REF!,"AAAAAHx82wc=")</f>
        <v>#REF!</v>
      </c>
      <c r="I103" s="34" t="e">
        <f>IF(#REF!,"AAAAAHx82wg=",0)</f>
        <v>#REF!</v>
      </c>
      <c r="J103" s="34" t="e">
        <f>AND(#REF!,"AAAAAHx82wk=")</f>
        <v>#REF!</v>
      </c>
      <c r="K103" s="34" t="e">
        <f>AND(#REF!,"AAAAAHx82wo=")</f>
        <v>#REF!</v>
      </c>
      <c r="L103" s="34" t="e">
        <f>AND(#REF!,"AAAAAHx82ws=")</f>
        <v>#REF!</v>
      </c>
      <c r="M103" s="34" t="e">
        <f>AND(#REF!,"AAAAAHx82ww=")</f>
        <v>#REF!</v>
      </c>
      <c r="N103" s="34" t="e">
        <f>AND(#REF!,"AAAAAHx82w0=")</f>
        <v>#REF!</v>
      </c>
      <c r="O103" s="34" t="e">
        <f>AND(#REF!,"AAAAAHx82w4=")</f>
        <v>#REF!</v>
      </c>
      <c r="P103" s="34" t="e">
        <f>AND(#REF!,"AAAAAHx82w8=")</f>
        <v>#REF!</v>
      </c>
      <c r="Q103" s="34" t="e">
        <f>AND(#REF!,"AAAAAHx82xA=")</f>
        <v>#REF!</v>
      </c>
      <c r="R103" s="34" t="e">
        <f>AND(#REF!,"AAAAAHx82xE=")</f>
        <v>#REF!</v>
      </c>
      <c r="S103" s="34" t="e">
        <f>AND(#REF!,"AAAAAHx82xI=")</f>
        <v>#REF!</v>
      </c>
      <c r="T103" s="34" t="e">
        <f>AND(#REF!,"AAAAAHx82xM=")</f>
        <v>#REF!</v>
      </c>
      <c r="U103" s="34" t="e">
        <f>AND(#REF!,"AAAAAHx82xQ=")</f>
        <v>#REF!</v>
      </c>
      <c r="V103" s="34" t="e">
        <f>AND(#REF!,"AAAAAHx82xU=")</f>
        <v>#REF!</v>
      </c>
      <c r="W103" s="34" t="e">
        <f>AND(#REF!,"AAAAAHx82xY=")</f>
        <v>#REF!</v>
      </c>
      <c r="X103" s="34" t="e">
        <f>AND(#REF!,"AAAAAHx82xc=")</f>
        <v>#REF!</v>
      </c>
      <c r="Y103" s="34" t="e">
        <f>AND(#REF!,"AAAAAHx82xg=")</f>
        <v>#REF!</v>
      </c>
      <c r="Z103" s="34" t="e">
        <f>IF(#REF!,"AAAAAHx82xk=",0)</f>
        <v>#REF!</v>
      </c>
      <c r="AA103" s="34" t="e">
        <f>AND(#REF!,"AAAAAHx82xo=")</f>
        <v>#REF!</v>
      </c>
      <c r="AB103" s="34" t="e">
        <f>AND(#REF!,"AAAAAHx82xs=")</f>
        <v>#REF!</v>
      </c>
      <c r="AC103" s="34" t="e">
        <f>AND(#REF!,"AAAAAHx82xw=")</f>
        <v>#REF!</v>
      </c>
      <c r="AD103" s="34" t="e">
        <f>AND(#REF!,"AAAAAHx82x0=")</f>
        <v>#REF!</v>
      </c>
      <c r="AE103" s="34" t="e">
        <f>AND(#REF!,"AAAAAHx82x4=")</f>
        <v>#REF!</v>
      </c>
      <c r="AF103" s="34" t="e">
        <f>AND(#REF!,"AAAAAHx82x8=")</f>
        <v>#REF!</v>
      </c>
      <c r="AG103" s="34" t="e">
        <f>AND(#REF!,"AAAAAHx82yA=")</f>
        <v>#REF!</v>
      </c>
      <c r="AH103" s="34" t="e">
        <f>AND(#REF!,"AAAAAHx82yE=")</f>
        <v>#REF!</v>
      </c>
      <c r="AI103" s="34" t="e">
        <f>AND(#REF!,"AAAAAHx82yI=")</f>
        <v>#REF!</v>
      </c>
      <c r="AJ103" s="34" t="e">
        <f>AND(#REF!,"AAAAAHx82yM=")</f>
        <v>#REF!</v>
      </c>
      <c r="AK103" s="34" t="e">
        <f>AND(#REF!,"AAAAAHx82yQ=")</f>
        <v>#REF!</v>
      </c>
      <c r="AL103" s="34" t="e">
        <f>AND(#REF!,"AAAAAHx82yU=")</f>
        <v>#REF!</v>
      </c>
      <c r="AM103" s="34" t="e">
        <f>AND(#REF!,"AAAAAHx82yY=")</f>
        <v>#REF!</v>
      </c>
      <c r="AN103" s="34" t="e">
        <f>AND(#REF!,"AAAAAHx82yc=")</f>
        <v>#REF!</v>
      </c>
      <c r="AO103" s="34" t="e">
        <f>AND(#REF!,"AAAAAHx82yg=")</f>
        <v>#REF!</v>
      </c>
      <c r="AP103" s="34" t="e">
        <f>AND(#REF!,"AAAAAHx82yk=")</f>
        <v>#REF!</v>
      </c>
      <c r="AQ103" s="34" t="e">
        <f>IF(#REF!,"AAAAAHx82yo=",0)</f>
        <v>#REF!</v>
      </c>
      <c r="AR103" s="34" t="e">
        <f>AND(#REF!,"AAAAAHx82ys=")</f>
        <v>#REF!</v>
      </c>
      <c r="AS103" s="34" t="e">
        <f>AND(#REF!,"AAAAAHx82yw=")</f>
        <v>#REF!</v>
      </c>
      <c r="AT103" s="34" t="e">
        <f>AND(#REF!,"AAAAAHx82y0=")</f>
        <v>#REF!</v>
      </c>
      <c r="AU103" s="34" t="e">
        <f>AND(#REF!,"AAAAAHx82y4=")</f>
        <v>#REF!</v>
      </c>
      <c r="AV103" s="34" t="e">
        <f>AND(#REF!,"AAAAAHx82y8=")</f>
        <v>#REF!</v>
      </c>
      <c r="AW103" s="34" t="e">
        <f>AND(#REF!,"AAAAAHx82zA=")</f>
        <v>#REF!</v>
      </c>
      <c r="AX103" s="34" t="e">
        <f>AND(#REF!,"AAAAAHx82zE=")</f>
        <v>#REF!</v>
      </c>
      <c r="AY103" s="34" t="e">
        <f>AND(#REF!,"AAAAAHx82zI=")</f>
        <v>#REF!</v>
      </c>
      <c r="AZ103" s="34" t="e">
        <f>AND(#REF!,"AAAAAHx82zM=")</f>
        <v>#REF!</v>
      </c>
      <c r="BA103" s="34" t="e">
        <f>AND(#REF!,"AAAAAHx82zQ=")</f>
        <v>#REF!</v>
      </c>
      <c r="BB103" s="34" t="e">
        <f>AND(#REF!,"AAAAAHx82zU=")</f>
        <v>#REF!</v>
      </c>
      <c r="BC103" s="34" t="e">
        <f>AND(#REF!,"AAAAAHx82zY=")</f>
        <v>#REF!</v>
      </c>
      <c r="BD103" s="34" t="e">
        <f>AND(#REF!,"AAAAAHx82zc=")</f>
        <v>#REF!</v>
      </c>
      <c r="BE103" s="34" t="e">
        <f>AND(#REF!,"AAAAAHx82zg=")</f>
        <v>#REF!</v>
      </c>
      <c r="BF103" s="34" t="e">
        <f>AND(#REF!,"AAAAAHx82zk=")</f>
        <v>#REF!</v>
      </c>
      <c r="BG103" s="34" t="e">
        <f>AND(#REF!,"AAAAAHx82zo=")</f>
        <v>#REF!</v>
      </c>
      <c r="BH103" s="34" t="e">
        <f>IF(#REF!,"AAAAAHx82zs=",0)</f>
        <v>#REF!</v>
      </c>
      <c r="BI103" s="34" t="e">
        <f>AND(#REF!,"AAAAAHx82zw=")</f>
        <v>#REF!</v>
      </c>
      <c r="BJ103" s="34" t="e">
        <f>AND(#REF!,"AAAAAHx82z0=")</f>
        <v>#REF!</v>
      </c>
      <c r="BK103" s="34" t="e">
        <f>AND(#REF!,"AAAAAHx82z4=")</f>
        <v>#REF!</v>
      </c>
      <c r="BL103" s="34" t="e">
        <f>AND(#REF!,"AAAAAHx82z8=")</f>
        <v>#REF!</v>
      </c>
      <c r="BM103" s="34" t="e">
        <f>AND(#REF!,"AAAAAHx820A=")</f>
        <v>#REF!</v>
      </c>
      <c r="BN103" s="34" t="e">
        <f>AND(#REF!,"AAAAAHx820E=")</f>
        <v>#REF!</v>
      </c>
      <c r="BO103" s="34" t="e">
        <f>AND(#REF!,"AAAAAHx820I=")</f>
        <v>#REF!</v>
      </c>
      <c r="BP103" s="34" t="e">
        <f>AND(#REF!,"AAAAAHx820M=")</f>
        <v>#REF!</v>
      </c>
      <c r="BQ103" s="34" t="e">
        <f>AND(#REF!,"AAAAAHx820Q=")</f>
        <v>#REF!</v>
      </c>
      <c r="BR103" s="34" t="e">
        <f>AND(#REF!,"AAAAAHx820U=")</f>
        <v>#REF!</v>
      </c>
      <c r="BS103" s="34" t="e">
        <f>AND(#REF!,"AAAAAHx820Y=")</f>
        <v>#REF!</v>
      </c>
      <c r="BT103" s="34" t="e">
        <f>AND(#REF!,"AAAAAHx820c=")</f>
        <v>#REF!</v>
      </c>
      <c r="BU103" s="34" t="e">
        <f>AND(#REF!,"AAAAAHx820g=")</f>
        <v>#REF!</v>
      </c>
      <c r="BV103" s="34" t="e">
        <f>AND(#REF!,"AAAAAHx820k=")</f>
        <v>#REF!</v>
      </c>
      <c r="BW103" s="34" t="e">
        <f>AND(#REF!,"AAAAAHx820o=")</f>
        <v>#REF!</v>
      </c>
      <c r="BX103" s="34" t="e">
        <f>AND(#REF!,"AAAAAHx820s=")</f>
        <v>#REF!</v>
      </c>
      <c r="BY103" s="34" t="e">
        <f>IF(#REF!,"AAAAAHx820w=",0)</f>
        <v>#REF!</v>
      </c>
      <c r="BZ103" s="34" t="e">
        <f>AND(#REF!,"AAAAAHx8200=")</f>
        <v>#REF!</v>
      </c>
      <c r="CA103" s="34" t="e">
        <f>AND(#REF!,"AAAAAHx8204=")</f>
        <v>#REF!</v>
      </c>
      <c r="CB103" s="34" t="e">
        <f>AND(#REF!,"AAAAAHx8208=")</f>
        <v>#REF!</v>
      </c>
      <c r="CC103" s="34" t="e">
        <f>AND(#REF!,"AAAAAHx821A=")</f>
        <v>#REF!</v>
      </c>
      <c r="CD103" s="34" t="e">
        <f>AND(#REF!,"AAAAAHx821E=")</f>
        <v>#REF!</v>
      </c>
      <c r="CE103" s="34" t="e">
        <f>AND(#REF!,"AAAAAHx821I=")</f>
        <v>#REF!</v>
      </c>
      <c r="CF103" s="34" t="e">
        <f>AND(#REF!,"AAAAAHx821M=")</f>
        <v>#REF!</v>
      </c>
      <c r="CG103" s="34" t="e">
        <f>AND(#REF!,"AAAAAHx821Q=")</f>
        <v>#REF!</v>
      </c>
      <c r="CH103" s="34" t="e">
        <f>AND(#REF!,"AAAAAHx821U=")</f>
        <v>#REF!</v>
      </c>
      <c r="CI103" s="34" t="e">
        <f>AND(#REF!,"AAAAAHx821Y=")</f>
        <v>#REF!</v>
      </c>
      <c r="CJ103" s="34" t="e">
        <f>AND(#REF!,"AAAAAHx821c=")</f>
        <v>#REF!</v>
      </c>
      <c r="CK103" s="34" t="e">
        <f>AND(#REF!,"AAAAAHx821g=")</f>
        <v>#REF!</v>
      </c>
      <c r="CL103" s="34" t="e">
        <f>AND(#REF!,"AAAAAHx821k=")</f>
        <v>#REF!</v>
      </c>
      <c r="CM103" s="34" t="e">
        <f>AND(#REF!,"AAAAAHx821o=")</f>
        <v>#REF!</v>
      </c>
      <c r="CN103" s="34" t="e">
        <f>AND(#REF!,"AAAAAHx821s=")</f>
        <v>#REF!</v>
      </c>
      <c r="CO103" s="34" t="e">
        <f>AND(#REF!,"AAAAAHx821w=")</f>
        <v>#REF!</v>
      </c>
      <c r="CP103" s="34" t="e">
        <f>IF(#REF!,"AAAAAHx8210=",0)</f>
        <v>#REF!</v>
      </c>
      <c r="CQ103" s="34" t="e">
        <f>AND(#REF!,"AAAAAHx8214=")</f>
        <v>#REF!</v>
      </c>
      <c r="CR103" s="34" t="e">
        <f>AND(#REF!,"AAAAAHx8218=")</f>
        <v>#REF!</v>
      </c>
      <c r="CS103" s="34" t="e">
        <f>AND(#REF!,"AAAAAHx822A=")</f>
        <v>#REF!</v>
      </c>
      <c r="CT103" s="34" t="e">
        <f>AND(#REF!,"AAAAAHx822E=")</f>
        <v>#REF!</v>
      </c>
      <c r="CU103" s="34" t="e">
        <f>AND(#REF!,"AAAAAHx822I=")</f>
        <v>#REF!</v>
      </c>
      <c r="CV103" s="34" t="e">
        <f>AND(#REF!,"AAAAAHx822M=")</f>
        <v>#REF!</v>
      </c>
      <c r="CW103" s="34" t="e">
        <f>AND(#REF!,"AAAAAHx822Q=")</f>
        <v>#REF!</v>
      </c>
      <c r="CX103" s="34" t="e">
        <f>AND(#REF!,"AAAAAHx822U=")</f>
        <v>#REF!</v>
      </c>
      <c r="CY103" s="34" t="e">
        <f>AND(#REF!,"AAAAAHx822Y=")</f>
        <v>#REF!</v>
      </c>
      <c r="CZ103" s="34" t="e">
        <f>AND(#REF!,"AAAAAHx822c=")</f>
        <v>#REF!</v>
      </c>
      <c r="DA103" s="34" t="e">
        <f>AND(#REF!,"AAAAAHx822g=")</f>
        <v>#REF!</v>
      </c>
      <c r="DB103" s="34" t="e">
        <f>AND(#REF!,"AAAAAHx822k=")</f>
        <v>#REF!</v>
      </c>
      <c r="DC103" s="34" t="e">
        <f>AND(#REF!,"AAAAAHx822o=")</f>
        <v>#REF!</v>
      </c>
      <c r="DD103" s="34" t="e">
        <f>AND(#REF!,"AAAAAHx822s=")</f>
        <v>#REF!</v>
      </c>
      <c r="DE103" s="34" t="e">
        <f>AND(#REF!,"AAAAAHx822w=")</f>
        <v>#REF!</v>
      </c>
      <c r="DF103" s="34" t="e">
        <f>AND(#REF!,"AAAAAHx8220=")</f>
        <v>#REF!</v>
      </c>
      <c r="DG103" s="34" t="e">
        <f>IF(#REF!,"AAAAAHx8224=",0)</f>
        <v>#REF!</v>
      </c>
      <c r="DH103" s="34" t="e">
        <f>AND(#REF!,"AAAAAHx8228=")</f>
        <v>#REF!</v>
      </c>
      <c r="DI103" s="34" t="e">
        <f>AND(#REF!,"AAAAAHx823A=")</f>
        <v>#REF!</v>
      </c>
      <c r="DJ103" s="34" t="e">
        <f>AND(#REF!,"AAAAAHx823E=")</f>
        <v>#REF!</v>
      </c>
      <c r="DK103" s="34" t="e">
        <f>AND(#REF!,"AAAAAHx823I=")</f>
        <v>#REF!</v>
      </c>
      <c r="DL103" s="34" t="e">
        <f>AND(#REF!,"AAAAAHx823M=")</f>
        <v>#REF!</v>
      </c>
      <c r="DM103" s="34" t="e">
        <f>AND(#REF!,"AAAAAHx823Q=")</f>
        <v>#REF!</v>
      </c>
      <c r="DN103" s="34" t="e">
        <f>AND(#REF!,"AAAAAHx823U=")</f>
        <v>#REF!</v>
      </c>
      <c r="DO103" s="34" t="e">
        <f>AND(#REF!,"AAAAAHx823Y=")</f>
        <v>#REF!</v>
      </c>
      <c r="DP103" s="34" t="e">
        <f>AND(#REF!,"AAAAAHx823c=")</f>
        <v>#REF!</v>
      </c>
      <c r="DQ103" s="34" t="e">
        <f>AND(#REF!,"AAAAAHx823g=")</f>
        <v>#REF!</v>
      </c>
      <c r="DR103" s="34" t="e">
        <f>AND(#REF!,"AAAAAHx823k=")</f>
        <v>#REF!</v>
      </c>
      <c r="DS103" s="34" t="e">
        <f>AND(#REF!,"AAAAAHx823o=")</f>
        <v>#REF!</v>
      </c>
      <c r="DT103" s="34" t="e">
        <f>AND(#REF!,"AAAAAHx823s=")</f>
        <v>#REF!</v>
      </c>
      <c r="DU103" s="34" t="e">
        <f>AND(#REF!,"AAAAAHx823w=")</f>
        <v>#REF!</v>
      </c>
      <c r="DV103" s="34" t="e">
        <f>AND(#REF!,"AAAAAHx8230=")</f>
        <v>#REF!</v>
      </c>
      <c r="DW103" s="34" t="e">
        <f>AND(#REF!,"AAAAAHx8234=")</f>
        <v>#REF!</v>
      </c>
      <c r="DX103" s="34" t="e">
        <f>IF(#REF!,"AAAAAHx8238=",0)</f>
        <v>#REF!</v>
      </c>
      <c r="DY103" s="34" t="e">
        <f>AND(#REF!,"AAAAAHx824A=")</f>
        <v>#REF!</v>
      </c>
      <c r="DZ103" s="34" t="e">
        <f>AND(#REF!,"AAAAAHx824E=")</f>
        <v>#REF!</v>
      </c>
      <c r="EA103" s="34" t="e">
        <f>AND(#REF!,"AAAAAHx824I=")</f>
        <v>#REF!</v>
      </c>
      <c r="EB103" s="34" t="e">
        <f>AND(#REF!,"AAAAAHx824M=")</f>
        <v>#REF!</v>
      </c>
      <c r="EC103" s="34" t="e">
        <f>AND(#REF!,"AAAAAHx824Q=")</f>
        <v>#REF!</v>
      </c>
      <c r="ED103" s="34" t="e">
        <f>AND(#REF!,"AAAAAHx824U=")</f>
        <v>#REF!</v>
      </c>
      <c r="EE103" s="34" t="e">
        <f>AND(#REF!,"AAAAAHx824Y=")</f>
        <v>#REF!</v>
      </c>
      <c r="EF103" s="34" t="e">
        <f>AND(#REF!,"AAAAAHx824c=")</f>
        <v>#REF!</v>
      </c>
      <c r="EG103" s="34" t="e">
        <f>AND(#REF!,"AAAAAHx824g=")</f>
        <v>#REF!</v>
      </c>
      <c r="EH103" s="34" t="e">
        <f>AND(#REF!,"AAAAAHx824k=")</f>
        <v>#REF!</v>
      </c>
      <c r="EI103" s="34" t="e">
        <f>AND(#REF!,"AAAAAHx824o=")</f>
        <v>#REF!</v>
      </c>
      <c r="EJ103" s="34" t="e">
        <f>AND(#REF!,"AAAAAHx824s=")</f>
        <v>#REF!</v>
      </c>
      <c r="EK103" s="34" t="e">
        <f>AND(#REF!,"AAAAAHx824w=")</f>
        <v>#REF!</v>
      </c>
      <c r="EL103" s="34" t="e">
        <f>AND(#REF!,"AAAAAHx8240=")</f>
        <v>#REF!</v>
      </c>
      <c r="EM103" s="34" t="e">
        <f>AND(#REF!,"AAAAAHx8244=")</f>
        <v>#REF!</v>
      </c>
      <c r="EN103" s="34" t="e">
        <f>AND(#REF!,"AAAAAHx8248=")</f>
        <v>#REF!</v>
      </c>
      <c r="EO103" s="34" t="e">
        <f>IF(#REF!,"AAAAAHx825A=",0)</f>
        <v>#REF!</v>
      </c>
      <c r="EP103" s="34" t="e">
        <f>AND(#REF!,"AAAAAHx825E=")</f>
        <v>#REF!</v>
      </c>
      <c r="EQ103" s="34" t="e">
        <f>AND(#REF!,"AAAAAHx825I=")</f>
        <v>#REF!</v>
      </c>
      <c r="ER103" s="34" t="e">
        <f>AND(#REF!,"AAAAAHx825M=")</f>
        <v>#REF!</v>
      </c>
      <c r="ES103" s="34" t="e">
        <f>AND(#REF!,"AAAAAHx825Q=")</f>
        <v>#REF!</v>
      </c>
      <c r="ET103" s="34" t="e">
        <f>AND(#REF!,"AAAAAHx825U=")</f>
        <v>#REF!</v>
      </c>
      <c r="EU103" s="34" t="e">
        <f>AND(#REF!,"AAAAAHx825Y=")</f>
        <v>#REF!</v>
      </c>
      <c r="EV103" s="34" t="e">
        <f>AND(#REF!,"AAAAAHx825c=")</f>
        <v>#REF!</v>
      </c>
      <c r="EW103" s="34" t="e">
        <f>AND(#REF!,"AAAAAHx825g=")</f>
        <v>#REF!</v>
      </c>
      <c r="EX103" s="34" t="e">
        <f>AND(#REF!,"AAAAAHx825k=")</f>
        <v>#REF!</v>
      </c>
      <c r="EY103" s="34" t="e">
        <f>AND(#REF!,"AAAAAHx825o=")</f>
        <v>#REF!</v>
      </c>
      <c r="EZ103" s="34" t="e">
        <f>AND(#REF!,"AAAAAHx825s=")</f>
        <v>#REF!</v>
      </c>
      <c r="FA103" s="34" t="e">
        <f>AND(#REF!,"AAAAAHx825w=")</f>
        <v>#REF!</v>
      </c>
      <c r="FB103" s="34" t="e">
        <f>AND(#REF!,"AAAAAHx8250=")</f>
        <v>#REF!</v>
      </c>
      <c r="FC103" s="34" t="e">
        <f>AND(#REF!,"AAAAAHx8254=")</f>
        <v>#REF!</v>
      </c>
      <c r="FD103" s="34" t="e">
        <f>AND(#REF!,"AAAAAHx8258=")</f>
        <v>#REF!</v>
      </c>
      <c r="FE103" s="34" t="e">
        <f>AND(#REF!,"AAAAAHx826A=")</f>
        <v>#REF!</v>
      </c>
      <c r="FF103" s="34" t="e">
        <f>IF(#REF!,"AAAAAHx826E=",0)</f>
        <v>#REF!</v>
      </c>
      <c r="FG103" s="34" t="e">
        <f>AND(#REF!,"AAAAAHx826I=")</f>
        <v>#REF!</v>
      </c>
      <c r="FH103" s="34" t="e">
        <f>AND(#REF!,"AAAAAHx826M=")</f>
        <v>#REF!</v>
      </c>
      <c r="FI103" s="34" t="e">
        <f>AND(#REF!,"AAAAAHx826Q=")</f>
        <v>#REF!</v>
      </c>
      <c r="FJ103" s="34" t="e">
        <f>AND(#REF!,"AAAAAHx826U=")</f>
        <v>#REF!</v>
      </c>
      <c r="FK103" s="34" t="e">
        <f>AND(#REF!,"AAAAAHx826Y=")</f>
        <v>#REF!</v>
      </c>
      <c r="FL103" s="34" t="e">
        <f>AND(#REF!,"AAAAAHx826c=")</f>
        <v>#REF!</v>
      </c>
      <c r="FM103" s="34" t="e">
        <f>AND(#REF!,"AAAAAHx826g=")</f>
        <v>#REF!</v>
      </c>
      <c r="FN103" s="34" t="e">
        <f>AND(#REF!,"AAAAAHx826k=")</f>
        <v>#REF!</v>
      </c>
      <c r="FO103" s="34" t="e">
        <f>AND(#REF!,"AAAAAHx826o=")</f>
        <v>#REF!</v>
      </c>
      <c r="FP103" s="34" t="e">
        <f>AND(#REF!,"AAAAAHx826s=")</f>
        <v>#REF!</v>
      </c>
      <c r="FQ103" s="34" t="e">
        <f>AND(#REF!,"AAAAAHx826w=")</f>
        <v>#REF!</v>
      </c>
      <c r="FR103" s="34" t="e">
        <f>AND(#REF!,"AAAAAHx8260=")</f>
        <v>#REF!</v>
      </c>
      <c r="FS103" s="34" t="e">
        <f>AND(#REF!,"AAAAAHx8264=")</f>
        <v>#REF!</v>
      </c>
      <c r="FT103" s="34" t="e">
        <f>AND(#REF!,"AAAAAHx8268=")</f>
        <v>#REF!</v>
      </c>
      <c r="FU103" s="34" t="e">
        <f>AND(#REF!,"AAAAAHx827A=")</f>
        <v>#REF!</v>
      </c>
      <c r="FV103" s="34" t="e">
        <f>AND(#REF!,"AAAAAHx827E=")</f>
        <v>#REF!</v>
      </c>
      <c r="FW103" s="34" t="e">
        <f>IF(#REF!,"AAAAAHx827I=",0)</f>
        <v>#REF!</v>
      </c>
      <c r="FX103" s="34" t="e">
        <f>AND(#REF!,"AAAAAHx827M=")</f>
        <v>#REF!</v>
      </c>
      <c r="FY103" s="34" t="e">
        <f>AND(#REF!,"AAAAAHx827Q=")</f>
        <v>#REF!</v>
      </c>
      <c r="FZ103" s="34" t="e">
        <f>AND(#REF!,"AAAAAHx827U=")</f>
        <v>#REF!</v>
      </c>
      <c r="GA103" s="34" t="e">
        <f>AND(#REF!,"AAAAAHx827Y=")</f>
        <v>#REF!</v>
      </c>
      <c r="GB103" s="34" t="e">
        <f>AND(#REF!,"AAAAAHx827c=")</f>
        <v>#REF!</v>
      </c>
      <c r="GC103" s="34" t="e">
        <f>AND(#REF!,"AAAAAHx827g=")</f>
        <v>#REF!</v>
      </c>
      <c r="GD103" s="34" t="e">
        <f>AND(#REF!,"AAAAAHx827k=")</f>
        <v>#REF!</v>
      </c>
      <c r="GE103" s="34" t="e">
        <f>AND(#REF!,"AAAAAHx827o=")</f>
        <v>#REF!</v>
      </c>
      <c r="GF103" s="34" t="e">
        <f>AND(#REF!,"AAAAAHx827s=")</f>
        <v>#REF!</v>
      </c>
      <c r="GG103" s="34" t="e">
        <f>AND(#REF!,"AAAAAHx827w=")</f>
        <v>#REF!</v>
      </c>
      <c r="GH103" s="34" t="e">
        <f>AND(#REF!,"AAAAAHx8270=")</f>
        <v>#REF!</v>
      </c>
      <c r="GI103" s="34" t="e">
        <f>AND(#REF!,"AAAAAHx8274=")</f>
        <v>#REF!</v>
      </c>
      <c r="GJ103" s="34" t="e">
        <f>AND(#REF!,"AAAAAHx8278=")</f>
        <v>#REF!</v>
      </c>
      <c r="GK103" s="34" t="e">
        <f>AND(#REF!,"AAAAAHx828A=")</f>
        <v>#REF!</v>
      </c>
      <c r="GL103" s="34" t="e">
        <f>AND(#REF!,"AAAAAHx828E=")</f>
        <v>#REF!</v>
      </c>
      <c r="GM103" s="34" t="e">
        <f>AND(#REF!,"AAAAAHx828I=")</f>
        <v>#REF!</v>
      </c>
      <c r="GN103" s="34" t="e">
        <f>IF(#REF!,"AAAAAHx828M=",0)</f>
        <v>#REF!</v>
      </c>
      <c r="GO103" s="34" t="e">
        <f>AND(#REF!,"AAAAAHx828Q=")</f>
        <v>#REF!</v>
      </c>
      <c r="GP103" s="34" t="e">
        <f>AND(#REF!,"AAAAAHx828U=")</f>
        <v>#REF!</v>
      </c>
      <c r="GQ103" s="34" t="e">
        <f>AND(#REF!,"AAAAAHx828Y=")</f>
        <v>#REF!</v>
      </c>
      <c r="GR103" s="34" t="e">
        <f>AND(#REF!,"AAAAAHx828c=")</f>
        <v>#REF!</v>
      </c>
      <c r="GS103" s="34" t="e">
        <f>AND(#REF!,"AAAAAHx828g=")</f>
        <v>#REF!</v>
      </c>
      <c r="GT103" s="34" t="e">
        <f>AND(#REF!,"AAAAAHx828k=")</f>
        <v>#REF!</v>
      </c>
      <c r="GU103" s="34" t="e">
        <f>AND(#REF!,"AAAAAHx828o=")</f>
        <v>#REF!</v>
      </c>
      <c r="GV103" s="34" t="e">
        <f>AND(#REF!,"AAAAAHx828s=")</f>
        <v>#REF!</v>
      </c>
      <c r="GW103" s="34" t="e">
        <f>AND(#REF!,"AAAAAHx828w=")</f>
        <v>#REF!</v>
      </c>
      <c r="GX103" s="34" t="e">
        <f>AND(#REF!,"AAAAAHx8280=")</f>
        <v>#REF!</v>
      </c>
      <c r="GY103" s="34" t="e">
        <f>AND(#REF!,"AAAAAHx8284=")</f>
        <v>#REF!</v>
      </c>
      <c r="GZ103" s="34" t="e">
        <f>AND(#REF!,"AAAAAHx8288=")</f>
        <v>#REF!</v>
      </c>
      <c r="HA103" s="34" t="e">
        <f>AND(#REF!,"AAAAAHx829A=")</f>
        <v>#REF!</v>
      </c>
      <c r="HB103" s="34" t="e">
        <f>AND(#REF!,"AAAAAHx829E=")</f>
        <v>#REF!</v>
      </c>
      <c r="HC103" s="34" t="e">
        <f>AND(#REF!,"AAAAAHx829I=")</f>
        <v>#REF!</v>
      </c>
      <c r="HD103" s="34" t="e">
        <f>AND(#REF!,"AAAAAHx829M=")</f>
        <v>#REF!</v>
      </c>
      <c r="HE103" s="34" t="e">
        <f>IF(#REF!,"AAAAAHx829Q=",0)</f>
        <v>#REF!</v>
      </c>
      <c r="HF103" s="34" t="e">
        <f>AND(#REF!,"AAAAAHx829U=")</f>
        <v>#REF!</v>
      </c>
      <c r="HG103" s="34" t="e">
        <f>AND(#REF!,"AAAAAHx829Y=")</f>
        <v>#REF!</v>
      </c>
      <c r="HH103" s="34" t="e">
        <f>AND(#REF!,"AAAAAHx829c=")</f>
        <v>#REF!</v>
      </c>
      <c r="HI103" s="34" t="e">
        <f>AND(#REF!,"AAAAAHx829g=")</f>
        <v>#REF!</v>
      </c>
      <c r="HJ103" s="34" t="e">
        <f>AND(#REF!,"AAAAAHx829k=")</f>
        <v>#REF!</v>
      </c>
      <c r="HK103" s="34" t="e">
        <f>AND(#REF!,"AAAAAHx829o=")</f>
        <v>#REF!</v>
      </c>
      <c r="HL103" s="34" t="e">
        <f>AND(#REF!,"AAAAAHx829s=")</f>
        <v>#REF!</v>
      </c>
      <c r="HM103" s="34" t="e">
        <f>AND(#REF!,"AAAAAHx829w=")</f>
        <v>#REF!</v>
      </c>
      <c r="HN103" s="34" t="e">
        <f>AND(#REF!,"AAAAAHx8290=")</f>
        <v>#REF!</v>
      </c>
      <c r="HO103" s="34" t="e">
        <f>AND(#REF!,"AAAAAHx8294=")</f>
        <v>#REF!</v>
      </c>
      <c r="HP103" s="34" t="e">
        <f>AND(#REF!,"AAAAAHx8298=")</f>
        <v>#REF!</v>
      </c>
      <c r="HQ103" s="34" t="e">
        <f>AND(#REF!,"AAAAAHx82+A=")</f>
        <v>#REF!</v>
      </c>
      <c r="HR103" s="34" t="e">
        <f>AND(#REF!,"AAAAAHx82+E=")</f>
        <v>#REF!</v>
      </c>
      <c r="HS103" s="34" t="e">
        <f>AND(#REF!,"AAAAAHx82+I=")</f>
        <v>#REF!</v>
      </c>
      <c r="HT103" s="34" t="e">
        <f>AND(#REF!,"AAAAAHx82+M=")</f>
        <v>#REF!</v>
      </c>
      <c r="HU103" s="34" t="e">
        <f>AND(#REF!,"AAAAAHx82+Q=")</f>
        <v>#REF!</v>
      </c>
      <c r="HV103" s="34" t="e">
        <f>IF(#REF!,"AAAAAHx82+U=",0)</f>
        <v>#REF!</v>
      </c>
      <c r="HW103" s="34" t="e">
        <f>AND(#REF!,"AAAAAHx82+Y=")</f>
        <v>#REF!</v>
      </c>
      <c r="HX103" s="34" t="e">
        <f>AND(#REF!,"AAAAAHx82+c=")</f>
        <v>#REF!</v>
      </c>
      <c r="HY103" s="34" t="e">
        <f>AND(#REF!,"AAAAAHx82+g=")</f>
        <v>#REF!</v>
      </c>
      <c r="HZ103" s="34" t="e">
        <f>AND(#REF!,"AAAAAHx82+k=")</f>
        <v>#REF!</v>
      </c>
      <c r="IA103" s="34" t="e">
        <f>AND(#REF!,"AAAAAHx82+o=")</f>
        <v>#REF!</v>
      </c>
      <c r="IB103" s="34" t="e">
        <f>AND(#REF!,"AAAAAHx82+s=")</f>
        <v>#REF!</v>
      </c>
      <c r="IC103" s="34" t="e">
        <f>AND(#REF!,"AAAAAHx82+w=")</f>
        <v>#REF!</v>
      </c>
      <c r="ID103" s="34" t="e">
        <f>AND(#REF!,"AAAAAHx82+0=")</f>
        <v>#REF!</v>
      </c>
      <c r="IE103" s="34" t="e">
        <f>AND(#REF!,"AAAAAHx82+4=")</f>
        <v>#REF!</v>
      </c>
      <c r="IF103" s="34" t="e">
        <f>AND(#REF!,"AAAAAHx82+8=")</f>
        <v>#REF!</v>
      </c>
      <c r="IG103" s="34" t="e">
        <f>AND(#REF!,"AAAAAHx82/A=")</f>
        <v>#REF!</v>
      </c>
      <c r="IH103" s="34" t="e">
        <f>AND(#REF!,"AAAAAHx82/E=")</f>
        <v>#REF!</v>
      </c>
      <c r="II103" s="34" t="e">
        <f>AND(#REF!,"AAAAAHx82/I=")</f>
        <v>#REF!</v>
      </c>
      <c r="IJ103" s="34" t="e">
        <f>AND(#REF!,"AAAAAHx82/M=")</f>
        <v>#REF!</v>
      </c>
      <c r="IK103" s="34" t="e">
        <f>AND(#REF!,"AAAAAHx82/Q=")</f>
        <v>#REF!</v>
      </c>
      <c r="IL103" s="34" t="e">
        <f>AND(#REF!,"AAAAAHx82/U=")</f>
        <v>#REF!</v>
      </c>
      <c r="IM103" s="34" t="e">
        <f>IF(#REF!,"AAAAAHx82/Y=",0)</f>
        <v>#REF!</v>
      </c>
      <c r="IN103" s="34" t="e">
        <f>AND(#REF!,"AAAAAHx82/c=")</f>
        <v>#REF!</v>
      </c>
      <c r="IO103" s="34" t="e">
        <f>AND(#REF!,"AAAAAHx82/g=")</f>
        <v>#REF!</v>
      </c>
      <c r="IP103" s="34" t="e">
        <f>AND(#REF!,"AAAAAHx82/k=")</f>
        <v>#REF!</v>
      </c>
      <c r="IQ103" s="34" t="e">
        <f>AND(#REF!,"AAAAAHx82/o=")</f>
        <v>#REF!</v>
      </c>
      <c r="IR103" s="34" t="e">
        <f>AND(#REF!,"AAAAAHx82/s=")</f>
        <v>#REF!</v>
      </c>
      <c r="IS103" s="34" t="e">
        <f>AND(#REF!,"AAAAAHx82/w=")</f>
        <v>#REF!</v>
      </c>
      <c r="IT103" s="34" t="e">
        <f>AND(#REF!,"AAAAAHx82/0=")</f>
        <v>#REF!</v>
      </c>
      <c r="IU103" s="34" t="e">
        <f>AND(#REF!,"AAAAAHx82/4=")</f>
        <v>#REF!</v>
      </c>
      <c r="IV103" s="34" t="e">
        <f>AND(#REF!,"AAAAAHx82/8=")</f>
        <v>#REF!</v>
      </c>
    </row>
    <row r="104" spans="1:256" ht="12.75" customHeight="1" x14ac:dyDescent="0.2">
      <c r="A104" s="34" t="e">
        <f>AND(#REF!,"AAAAAH17+AA=")</f>
        <v>#REF!</v>
      </c>
      <c r="B104" s="34" t="e">
        <f>AND(#REF!,"AAAAAH17+AE=")</f>
        <v>#REF!</v>
      </c>
      <c r="C104" s="34" t="e">
        <f>AND(#REF!,"AAAAAH17+AI=")</f>
        <v>#REF!</v>
      </c>
      <c r="D104" s="34" t="e">
        <f>AND(#REF!,"AAAAAH17+AM=")</f>
        <v>#REF!</v>
      </c>
      <c r="E104" s="34" t="e">
        <f>AND(#REF!,"AAAAAH17+AQ=")</f>
        <v>#REF!</v>
      </c>
      <c r="F104" s="34" t="e">
        <f>AND(#REF!,"AAAAAH17+AU=")</f>
        <v>#REF!</v>
      </c>
      <c r="G104" s="34" t="e">
        <f>AND(#REF!,"AAAAAH17+AY=")</f>
        <v>#REF!</v>
      </c>
      <c r="H104" s="34" t="e">
        <f>IF(#REF!,"AAAAAH17+Ac=",0)</f>
        <v>#REF!</v>
      </c>
      <c r="I104" s="34" t="e">
        <f>AND(#REF!,"AAAAAH17+Ag=")</f>
        <v>#REF!</v>
      </c>
      <c r="J104" s="34" t="e">
        <f>AND(#REF!,"AAAAAH17+Ak=")</f>
        <v>#REF!</v>
      </c>
      <c r="K104" s="34" t="e">
        <f>AND(#REF!,"AAAAAH17+Ao=")</f>
        <v>#REF!</v>
      </c>
      <c r="L104" s="34" t="e">
        <f>AND(#REF!,"AAAAAH17+As=")</f>
        <v>#REF!</v>
      </c>
      <c r="M104" s="34" t="e">
        <f>AND(#REF!,"AAAAAH17+Aw=")</f>
        <v>#REF!</v>
      </c>
      <c r="N104" s="34" t="e">
        <f>AND(#REF!,"AAAAAH17+A0=")</f>
        <v>#REF!</v>
      </c>
      <c r="O104" s="34" t="e">
        <f>AND(#REF!,"AAAAAH17+A4=")</f>
        <v>#REF!</v>
      </c>
      <c r="P104" s="34" t="e">
        <f>AND(#REF!,"AAAAAH17+A8=")</f>
        <v>#REF!</v>
      </c>
      <c r="Q104" s="34" t="e">
        <f>AND(#REF!,"AAAAAH17+BA=")</f>
        <v>#REF!</v>
      </c>
      <c r="R104" s="34" t="e">
        <f>AND(#REF!,"AAAAAH17+BE=")</f>
        <v>#REF!</v>
      </c>
      <c r="S104" s="34" t="e">
        <f>AND(#REF!,"AAAAAH17+BI=")</f>
        <v>#REF!</v>
      </c>
      <c r="T104" s="34" t="e">
        <f>AND(#REF!,"AAAAAH17+BM=")</f>
        <v>#REF!</v>
      </c>
      <c r="U104" s="34" t="e">
        <f>AND(#REF!,"AAAAAH17+BQ=")</f>
        <v>#REF!</v>
      </c>
      <c r="V104" s="34" t="e">
        <f>AND(#REF!,"AAAAAH17+BU=")</f>
        <v>#REF!</v>
      </c>
      <c r="W104" s="34" t="e">
        <f>AND(#REF!,"AAAAAH17+BY=")</f>
        <v>#REF!</v>
      </c>
      <c r="X104" s="34" t="e">
        <f>AND(#REF!,"AAAAAH17+Bc=")</f>
        <v>#REF!</v>
      </c>
      <c r="Y104" s="34" t="e">
        <f>IF(#REF!,"AAAAAH17+Bg=",0)</f>
        <v>#REF!</v>
      </c>
      <c r="Z104" s="34" t="e">
        <f>AND(#REF!,"AAAAAH17+Bk=")</f>
        <v>#REF!</v>
      </c>
      <c r="AA104" s="34" t="e">
        <f>AND(#REF!,"AAAAAH17+Bo=")</f>
        <v>#REF!</v>
      </c>
      <c r="AB104" s="34" t="e">
        <f>AND(#REF!,"AAAAAH17+Bs=")</f>
        <v>#REF!</v>
      </c>
      <c r="AC104" s="34" t="e">
        <f>AND(#REF!,"AAAAAH17+Bw=")</f>
        <v>#REF!</v>
      </c>
      <c r="AD104" s="34" t="e">
        <f>AND(#REF!,"AAAAAH17+B0=")</f>
        <v>#REF!</v>
      </c>
      <c r="AE104" s="34" t="e">
        <f>AND(#REF!,"AAAAAH17+B4=")</f>
        <v>#REF!</v>
      </c>
      <c r="AF104" s="34" t="e">
        <f>AND(#REF!,"AAAAAH17+B8=")</f>
        <v>#REF!</v>
      </c>
      <c r="AG104" s="34" t="e">
        <f>AND(#REF!,"AAAAAH17+CA=")</f>
        <v>#REF!</v>
      </c>
      <c r="AH104" s="34" t="e">
        <f>AND(#REF!,"AAAAAH17+CE=")</f>
        <v>#REF!</v>
      </c>
      <c r="AI104" s="34" t="e">
        <f>AND(#REF!,"AAAAAH17+CI=")</f>
        <v>#REF!</v>
      </c>
      <c r="AJ104" s="34" t="e">
        <f>AND(#REF!,"AAAAAH17+CM=")</f>
        <v>#REF!</v>
      </c>
      <c r="AK104" s="34" t="e">
        <f>AND(#REF!,"AAAAAH17+CQ=")</f>
        <v>#REF!</v>
      </c>
      <c r="AL104" s="34" t="e">
        <f>AND(#REF!,"AAAAAH17+CU=")</f>
        <v>#REF!</v>
      </c>
      <c r="AM104" s="34" t="e">
        <f>AND(#REF!,"AAAAAH17+CY=")</f>
        <v>#REF!</v>
      </c>
      <c r="AN104" s="34" t="e">
        <f>AND(#REF!,"AAAAAH17+Cc=")</f>
        <v>#REF!</v>
      </c>
      <c r="AO104" s="34" t="e">
        <f>AND(#REF!,"AAAAAH17+Cg=")</f>
        <v>#REF!</v>
      </c>
      <c r="AP104" s="34" t="e">
        <f>IF(#REF!,"AAAAAH17+Ck=",0)</f>
        <v>#REF!</v>
      </c>
      <c r="AQ104" s="34" t="e">
        <f>IF(#REF!,"AAAAAH17+Co=",0)</f>
        <v>#REF!</v>
      </c>
      <c r="AR104" s="34" t="e">
        <f>IF(#REF!,"AAAAAH17+Cs=",0)</f>
        <v>#REF!</v>
      </c>
      <c r="AS104" s="34" t="e">
        <f>IF(#REF!,"AAAAAH17+Cw=",0)</f>
        <v>#REF!</v>
      </c>
      <c r="AT104" s="34" t="e">
        <f>IF(#REF!,"AAAAAH17+C0=",0)</f>
        <v>#REF!</v>
      </c>
      <c r="AU104" s="34" t="e">
        <f>IF(#REF!,"AAAAAH17+C4=",0)</f>
        <v>#REF!</v>
      </c>
      <c r="AV104" s="34" t="e">
        <f>IF(#REF!,"AAAAAH17+C8=",0)</f>
        <v>#REF!</v>
      </c>
      <c r="AW104" s="34" t="e">
        <f>IF(#REF!,"AAAAAH17+DA=",0)</f>
        <v>#REF!</v>
      </c>
      <c r="AX104" s="34" t="e">
        <f>IF(#REF!,"AAAAAH17+DE=",0)</f>
        <v>#REF!</v>
      </c>
      <c r="AY104" s="34" t="e">
        <f>IF(#REF!,"AAAAAH17+DI=",0)</f>
        <v>#REF!</v>
      </c>
      <c r="AZ104" s="34" t="e">
        <f>IF(#REF!,"AAAAAH17+DM=",0)</f>
        <v>#REF!</v>
      </c>
      <c r="BA104" s="34" t="e">
        <f>IF(#REF!,"AAAAAH17+DQ=",0)</f>
        <v>#REF!</v>
      </c>
      <c r="BB104" s="34" t="e">
        <f>IF(#REF!,"AAAAAH17+DU=",0)</f>
        <v>#REF!</v>
      </c>
      <c r="BC104" s="34" t="e">
        <f>IF(#REF!,"AAAAAH17+DY=",0)</f>
        <v>#REF!</v>
      </c>
      <c r="BD104" s="34" t="e">
        <f>IF(#REF!,"AAAAAH17+Dc=",0)</f>
        <v>#REF!</v>
      </c>
      <c r="BE104" s="34" t="e">
        <f>IF(#REF!,"AAAAAH17+Dg=",0)</f>
        <v>#REF!</v>
      </c>
      <c r="BF104" s="34" t="e">
        <f>IF(#REF!,"AAAAAH17+Dk=",0)</f>
        <v>#REF!</v>
      </c>
      <c r="BG104" s="34" t="e">
        <f>IF(#REF!,"AAAAAH17+Do=",0)</f>
        <v>#REF!</v>
      </c>
      <c r="BH104" s="34" t="e">
        <f>IF(#REF!,"AAAAAH17+Ds=",0)</f>
        <v>#REF!</v>
      </c>
      <c r="BI104" s="34" t="e">
        <f>IF(#REF!,"AAAAAH17+Dw=",0)</f>
        <v>#REF!</v>
      </c>
      <c r="BJ104" s="34" t="e">
        <f>IF(#REF!,"AAAAAH17+D0=",0)</f>
        <v>#REF!</v>
      </c>
      <c r="BK104" s="34" t="e">
        <f>IF(#REF!,"AAAAAH17+D4=",0)</f>
        <v>#REF!</v>
      </c>
      <c r="BL104" s="34" t="e">
        <f>IF(#REF!,"AAAAAH17+D8=",0)</f>
        <v>#REF!</v>
      </c>
      <c r="BM104" s="34" t="e">
        <f>IF(#REF!,"AAAAAH17+EA=",0)</f>
        <v>#REF!</v>
      </c>
      <c r="BN104" s="34" t="e">
        <f>IF(#REF!,"AAAAAH17+EE=",0)</f>
        <v>#REF!</v>
      </c>
      <c r="BO104" s="34" t="e">
        <f>IF(#REF!,"AAAAAH17+EI=",0)</f>
        <v>#REF!</v>
      </c>
      <c r="BP104" s="34" t="e">
        <f>IF(#REF!,"AAAAAH17+EM=",0)</f>
        <v>#REF!</v>
      </c>
      <c r="BQ104" s="34" t="e">
        <f>IF(#REF!,"AAAAAH17+EQ=",0)</f>
        <v>#REF!</v>
      </c>
      <c r="BR104" s="34" t="e">
        <f>IF(#REF!,"AAAAAH17+EU=",0)</f>
        <v>#REF!</v>
      </c>
      <c r="BS104" s="34" t="e">
        <f>IF(#REF!,"AAAAAH17+EY=",0)</f>
        <v>#REF!</v>
      </c>
      <c r="BT104" s="34" t="e">
        <f>IF(#REF!,"AAAAAH17+Ec=",0)</f>
        <v>#REF!</v>
      </c>
      <c r="BU104" s="34" t="e">
        <f>IF(#REF!,"AAAAAH17+Eg=",0)</f>
        <v>#REF!</v>
      </c>
      <c r="BV104" s="34" t="e">
        <f>IF(#REF!,"AAAAAH17+Ek=",0)</f>
        <v>#REF!</v>
      </c>
      <c r="BW104" s="34" t="e">
        <f>IF(#REF!,"AAAAAH17+Eo=",0)</f>
        <v>#REF!</v>
      </c>
      <c r="BX104" s="34" t="e">
        <f>IF(#REF!,"AAAAAH17+Es=",0)</f>
        <v>#REF!</v>
      </c>
      <c r="BY104" s="34" t="e">
        <f>IF(#REF!,"AAAAAH17+Ew=",0)</f>
        <v>#REF!</v>
      </c>
      <c r="BZ104" s="34" t="e">
        <f>IF(#REF!,"AAAAAH17+E0=",0)</f>
        <v>#REF!</v>
      </c>
      <c r="CA104" s="34" t="e">
        <f>IF(#REF!,"AAAAAH17+E4=",0)</f>
        <v>#REF!</v>
      </c>
      <c r="CB104" s="34" t="e">
        <f>IF(#REF!,"AAAAAH17+E8=",0)</f>
        <v>#REF!</v>
      </c>
      <c r="CC104" s="34" t="e">
        <f>IF(#REF!,"AAAAAH17+FA=",0)</f>
        <v>#REF!</v>
      </c>
      <c r="CD104" s="34" t="e">
        <f>IF(#REF!,"AAAAAH17+FE=",0)</f>
        <v>#REF!</v>
      </c>
      <c r="CE104" s="34" t="e">
        <f>IF(#REF!,"AAAAAH17+FI=",0)</f>
        <v>#REF!</v>
      </c>
      <c r="CF104" s="34" t="e">
        <f>IF(#REF!,"AAAAAH17+FM=",0)</f>
        <v>#REF!</v>
      </c>
      <c r="CG104" s="34" t="e">
        <f>IF(#REF!,"AAAAAH17+FQ=",0)</f>
        <v>#REF!</v>
      </c>
      <c r="CH104" s="34" t="e">
        <f>IF(#REF!,"AAAAAH17+FU=",0)</f>
        <v>#REF!</v>
      </c>
      <c r="CI104" s="34" t="e">
        <f>IF(#REF!,"AAAAAH17+FY=",0)</f>
        <v>#REF!</v>
      </c>
      <c r="CJ104" s="34" t="e">
        <f>IF(#REF!,"AAAAAH17+Fc=",0)</f>
        <v>#REF!</v>
      </c>
      <c r="CK104" s="34" t="e">
        <f>IF(#REF!,"AAAAAH17+Fg=",0)</f>
        <v>#REF!</v>
      </c>
      <c r="CL104" s="34" t="e">
        <f>IF(#REF!,"AAAAAH17+Fk=",0)</f>
        <v>#REF!</v>
      </c>
      <c r="CM104" s="34" t="e">
        <f>IF(#REF!,"AAAAAH17+Fo=",0)</f>
        <v>#REF!</v>
      </c>
      <c r="CN104" s="34" t="e">
        <f>IF(#REF!,"AAAAAH17+Fs=",0)</f>
        <v>#REF!</v>
      </c>
      <c r="CO104" s="34" t="e">
        <f>IF(#REF!,"AAAAAH17+Fw=",0)</f>
        <v>#REF!</v>
      </c>
      <c r="CP104" s="34" t="e">
        <f>IF(#REF!,"AAAAAH17+F0=",0)</f>
        <v>#REF!</v>
      </c>
      <c r="CQ104" s="34" t="e">
        <f>IF(#REF!,"AAAAAH17+F4=",0)</f>
        <v>#REF!</v>
      </c>
      <c r="CR104" s="34" t="e">
        <f>IF(#REF!,"AAAAAH17+F8=",0)</f>
        <v>#REF!</v>
      </c>
      <c r="CS104" s="34" t="e">
        <f>IF(#REF!,"AAAAAH17+GA=",0)</f>
        <v>#REF!</v>
      </c>
      <c r="CT104" s="34" t="e">
        <f>IF(#REF!,"AAAAAH17+GE=",0)</f>
        <v>#REF!</v>
      </c>
      <c r="CU104" s="34" t="e">
        <f>IF(#REF!,"AAAAAH17+GI=",0)</f>
        <v>#REF!</v>
      </c>
      <c r="CV104" s="34" t="e">
        <f>IF(#REF!,"AAAAAH17+GM=",0)</f>
        <v>#REF!</v>
      </c>
      <c r="CW104" s="34" t="e">
        <f>IF(#REF!,"AAAAAH17+GQ=",0)</f>
        <v>#REF!</v>
      </c>
      <c r="CX104" s="34" t="e">
        <f>IF(#REF!,"AAAAAH17+GU=",0)</f>
        <v>#REF!</v>
      </c>
      <c r="CY104" s="34" t="e">
        <f>IF(#REF!,"AAAAAH17+GY=",0)</f>
        <v>#REF!</v>
      </c>
      <c r="CZ104" s="34" t="e">
        <f>IF(#REF!,"AAAAAH17+Gc=",0)</f>
        <v>#REF!</v>
      </c>
      <c r="DA104" s="34" t="e">
        <f>IF(#REF!,"AAAAAH17+Gg=",0)</f>
        <v>#REF!</v>
      </c>
      <c r="DB104" s="34" t="e">
        <f>IF(#REF!,"AAAAAH17+Gk=",0)</f>
        <v>#REF!</v>
      </c>
      <c r="DC104" s="34" t="e">
        <f>IF(#REF!,"AAAAAH17+Go=",0)</f>
        <v>#REF!</v>
      </c>
      <c r="DD104" s="34" t="e">
        <f>IF(#REF!,"AAAAAH17+Gs=",0)</f>
        <v>#REF!</v>
      </c>
      <c r="DE104" s="34" t="e">
        <f>AND(#REF!,"AAAAAH17+Gw=")</f>
        <v>#REF!</v>
      </c>
      <c r="DF104" s="34" t="e">
        <f>AND(#REF!,"AAAAAH17+G0=")</f>
        <v>#REF!</v>
      </c>
      <c r="DG104" s="34" t="e">
        <f>AND(#REF!,"AAAAAH17+G4=")</f>
        <v>#REF!</v>
      </c>
      <c r="DH104" s="34" t="e">
        <f>AND(#REF!,"AAAAAH17+G8=")</f>
        <v>#REF!</v>
      </c>
      <c r="DI104" s="34" t="e">
        <f>AND(#REF!,"AAAAAH17+HA=")</f>
        <v>#REF!</v>
      </c>
      <c r="DJ104" s="34" t="e">
        <f>AND(#REF!,"AAAAAH17+HE=")</f>
        <v>#REF!</v>
      </c>
      <c r="DK104" s="34" t="e">
        <f>AND(#REF!,"AAAAAH17+HI=")</f>
        <v>#REF!</v>
      </c>
      <c r="DL104" s="34" t="e">
        <f>AND(#REF!,"AAAAAH17+HM=")</f>
        <v>#REF!</v>
      </c>
      <c r="DM104" s="34" t="e">
        <f>AND(#REF!,"AAAAAH17+HQ=")</f>
        <v>#REF!</v>
      </c>
      <c r="DN104" s="34" t="e">
        <f>AND(#REF!,"AAAAAH17+HU=")</f>
        <v>#REF!</v>
      </c>
      <c r="DO104" s="34" t="e">
        <f>AND(#REF!,"AAAAAH17+HY=")</f>
        <v>#REF!</v>
      </c>
      <c r="DP104" s="34" t="e">
        <f>AND(#REF!,"AAAAAH17+Hc=")</f>
        <v>#REF!</v>
      </c>
      <c r="DQ104" s="34" t="e">
        <f>AND(#REF!,"AAAAAH17+Hg=")</f>
        <v>#REF!</v>
      </c>
      <c r="DR104" s="34" t="e">
        <f>AND(#REF!,"AAAAAH17+Hk=")</f>
        <v>#REF!</v>
      </c>
      <c r="DS104" s="34" t="e">
        <f>AND(#REF!,"AAAAAH17+Ho=")</f>
        <v>#REF!</v>
      </c>
      <c r="DT104" s="34" t="e">
        <f>AND(#REF!,"AAAAAH17+Hs=")</f>
        <v>#REF!</v>
      </c>
      <c r="DU104" s="34" t="e">
        <f>IF(#REF!,"AAAAAH17+Hw=",0)</f>
        <v>#REF!</v>
      </c>
      <c r="DV104" s="34" t="e">
        <f>AND(#REF!,"AAAAAH17+H0=")</f>
        <v>#REF!</v>
      </c>
      <c r="DW104" s="34" t="e">
        <f>AND(#REF!,"AAAAAH17+H4=")</f>
        <v>#REF!</v>
      </c>
      <c r="DX104" s="34" t="e">
        <f>AND(#REF!,"AAAAAH17+H8=")</f>
        <v>#REF!</v>
      </c>
      <c r="DY104" s="34" t="e">
        <f>AND(#REF!,"AAAAAH17+IA=")</f>
        <v>#REF!</v>
      </c>
      <c r="DZ104" s="34" t="e">
        <f>AND(#REF!,"AAAAAH17+IE=")</f>
        <v>#REF!</v>
      </c>
      <c r="EA104" s="34" t="e">
        <f>AND(#REF!,"AAAAAH17+II=")</f>
        <v>#REF!</v>
      </c>
      <c r="EB104" s="34" t="e">
        <f>AND(#REF!,"AAAAAH17+IM=")</f>
        <v>#REF!</v>
      </c>
      <c r="EC104" s="34" t="e">
        <f>AND(#REF!,"AAAAAH17+IQ=")</f>
        <v>#REF!</v>
      </c>
      <c r="ED104" s="34" t="e">
        <f>AND(#REF!,"AAAAAH17+IU=")</f>
        <v>#REF!</v>
      </c>
      <c r="EE104" s="34" t="e">
        <f>AND(#REF!,"AAAAAH17+IY=")</f>
        <v>#REF!</v>
      </c>
      <c r="EF104" s="34" t="e">
        <f>AND(#REF!,"AAAAAH17+Ic=")</f>
        <v>#REF!</v>
      </c>
      <c r="EG104" s="34" t="e">
        <f>AND(#REF!,"AAAAAH17+Ig=")</f>
        <v>#REF!</v>
      </c>
      <c r="EH104" s="34" t="e">
        <f>AND(#REF!,"AAAAAH17+Ik=")</f>
        <v>#REF!</v>
      </c>
      <c r="EI104" s="34" t="e">
        <f>AND(#REF!,"AAAAAH17+Io=")</f>
        <v>#REF!</v>
      </c>
      <c r="EJ104" s="34" t="e">
        <f>AND(#REF!,"AAAAAH17+Is=")</f>
        <v>#REF!</v>
      </c>
      <c r="EK104" s="34" t="e">
        <f>AND(#REF!,"AAAAAH17+Iw=")</f>
        <v>#REF!</v>
      </c>
      <c r="EL104" s="34" t="e">
        <f>IF(#REF!,"AAAAAH17+I0=",0)</f>
        <v>#REF!</v>
      </c>
      <c r="EM104" s="34" t="e">
        <f>AND(#REF!,"AAAAAH17+I4=")</f>
        <v>#REF!</v>
      </c>
      <c r="EN104" s="34" t="e">
        <f>AND(#REF!,"AAAAAH17+I8=")</f>
        <v>#REF!</v>
      </c>
      <c r="EO104" s="34" t="e">
        <f>AND(#REF!,"AAAAAH17+JA=")</f>
        <v>#REF!</v>
      </c>
      <c r="EP104" s="34" t="e">
        <f>AND(#REF!,"AAAAAH17+JE=")</f>
        <v>#REF!</v>
      </c>
      <c r="EQ104" s="34" t="e">
        <f>AND(#REF!,"AAAAAH17+JI=")</f>
        <v>#REF!</v>
      </c>
      <c r="ER104" s="34" t="e">
        <f>AND(#REF!,"AAAAAH17+JM=")</f>
        <v>#REF!</v>
      </c>
      <c r="ES104" s="34" t="e">
        <f>AND(#REF!,"AAAAAH17+JQ=")</f>
        <v>#REF!</v>
      </c>
      <c r="ET104" s="34" t="e">
        <f>AND(#REF!,"AAAAAH17+JU=")</f>
        <v>#REF!</v>
      </c>
      <c r="EU104" s="34" t="e">
        <f>AND(#REF!,"AAAAAH17+JY=")</f>
        <v>#REF!</v>
      </c>
      <c r="EV104" s="34" t="e">
        <f>AND(#REF!,"AAAAAH17+Jc=")</f>
        <v>#REF!</v>
      </c>
      <c r="EW104" s="34" t="e">
        <f>AND(#REF!,"AAAAAH17+Jg=")</f>
        <v>#REF!</v>
      </c>
      <c r="EX104" s="34" t="e">
        <f>AND(#REF!,"AAAAAH17+Jk=")</f>
        <v>#REF!</v>
      </c>
      <c r="EY104" s="34" t="e">
        <f>AND(#REF!,"AAAAAH17+Jo=")</f>
        <v>#REF!</v>
      </c>
      <c r="EZ104" s="34" t="e">
        <f>AND(#REF!,"AAAAAH17+Js=")</f>
        <v>#REF!</v>
      </c>
      <c r="FA104" s="34" t="e">
        <f>AND(#REF!,"AAAAAH17+Jw=")</f>
        <v>#REF!</v>
      </c>
      <c r="FB104" s="34" t="e">
        <f>AND(#REF!,"AAAAAH17+J0=")</f>
        <v>#REF!</v>
      </c>
      <c r="FC104" s="34" t="e">
        <f>IF(#REF!,"AAAAAH17+J4=",0)</f>
        <v>#REF!</v>
      </c>
      <c r="FD104" s="34" t="e">
        <f>AND(#REF!,"AAAAAH17+J8=")</f>
        <v>#REF!</v>
      </c>
      <c r="FE104" s="34" t="e">
        <f>AND(#REF!,"AAAAAH17+KA=")</f>
        <v>#REF!</v>
      </c>
      <c r="FF104" s="34" t="e">
        <f>AND(#REF!,"AAAAAH17+KE=")</f>
        <v>#REF!</v>
      </c>
      <c r="FG104" s="34" t="e">
        <f>AND(#REF!,"AAAAAH17+KI=")</f>
        <v>#REF!</v>
      </c>
      <c r="FH104" s="34" t="e">
        <f>AND(#REF!,"AAAAAH17+KM=")</f>
        <v>#REF!</v>
      </c>
      <c r="FI104" s="34" t="e">
        <f>AND(#REF!,"AAAAAH17+KQ=")</f>
        <v>#REF!</v>
      </c>
      <c r="FJ104" s="34" t="e">
        <f>AND(#REF!,"AAAAAH17+KU=")</f>
        <v>#REF!</v>
      </c>
      <c r="FK104" s="34" t="e">
        <f>AND(#REF!,"AAAAAH17+KY=")</f>
        <v>#REF!</v>
      </c>
      <c r="FL104" s="34" t="e">
        <f>AND(#REF!,"AAAAAH17+Kc=")</f>
        <v>#REF!</v>
      </c>
      <c r="FM104" s="34" t="e">
        <f>AND(#REF!,"AAAAAH17+Kg=")</f>
        <v>#REF!</v>
      </c>
      <c r="FN104" s="34" t="e">
        <f>AND(#REF!,"AAAAAH17+Kk=")</f>
        <v>#REF!</v>
      </c>
      <c r="FO104" s="34" t="e">
        <f>AND(#REF!,"AAAAAH17+Ko=")</f>
        <v>#REF!</v>
      </c>
      <c r="FP104" s="34" t="e">
        <f>AND(#REF!,"AAAAAH17+Ks=")</f>
        <v>#REF!</v>
      </c>
      <c r="FQ104" s="34" t="e">
        <f>AND(#REF!,"AAAAAH17+Kw=")</f>
        <v>#REF!</v>
      </c>
      <c r="FR104" s="34" t="e">
        <f>AND(#REF!,"AAAAAH17+K0=")</f>
        <v>#REF!</v>
      </c>
      <c r="FS104" s="34" t="e">
        <f>AND(#REF!,"AAAAAH17+K4=")</f>
        <v>#REF!</v>
      </c>
      <c r="FT104" s="34" t="e">
        <f>IF(#REF!,"AAAAAH17+K8=",0)</f>
        <v>#REF!</v>
      </c>
      <c r="FU104" s="34" t="e">
        <f>AND(#REF!,"AAAAAH17+LA=")</f>
        <v>#REF!</v>
      </c>
      <c r="FV104" s="34" t="e">
        <f>AND(#REF!,"AAAAAH17+LE=")</f>
        <v>#REF!</v>
      </c>
      <c r="FW104" s="34" t="e">
        <f>AND(#REF!,"AAAAAH17+LI=")</f>
        <v>#REF!</v>
      </c>
      <c r="FX104" s="34" t="e">
        <f>AND(#REF!,"AAAAAH17+LM=")</f>
        <v>#REF!</v>
      </c>
      <c r="FY104" s="34" t="e">
        <f>AND(#REF!,"AAAAAH17+LQ=")</f>
        <v>#REF!</v>
      </c>
      <c r="FZ104" s="34" t="e">
        <f>AND(#REF!,"AAAAAH17+LU=")</f>
        <v>#REF!</v>
      </c>
      <c r="GA104" s="34" t="e">
        <f>AND(#REF!,"AAAAAH17+LY=")</f>
        <v>#REF!</v>
      </c>
      <c r="GB104" s="34" t="e">
        <f>AND(#REF!,"AAAAAH17+Lc=")</f>
        <v>#REF!</v>
      </c>
      <c r="GC104" s="34" t="e">
        <f>AND(#REF!,"AAAAAH17+Lg=")</f>
        <v>#REF!</v>
      </c>
      <c r="GD104" s="34" t="e">
        <f>AND(#REF!,"AAAAAH17+Lk=")</f>
        <v>#REF!</v>
      </c>
      <c r="GE104" s="34" t="e">
        <f>AND(#REF!,"AAAAAH17+Lo=")</f>
        <v>#REF!</v>
      </c>
      <c r="GF104" s="34" t="e">
        <f>AND(#REF!,"AAAAAH17+Ls=")</f>
        <v>#REF!</v>
      </c>
      <c r="GG104" s="34" t="e">
        <f>AND(#REF!,"AAAAAH17+Lw=")</f>
        <v>#REF!</v>
      </c>
      <c r="GH104" s="34" t="e">
        <f>AND(#REF!,"AAAAAH17+L0=")</f>
        <v>#REF!</v>
      </c>
      <c r="GI104" s="34" t="e">
        <f>AND(#REF!,"AAAAAH17+L4=")</f>
        <v>#REF!</v>
      </c>
      <c r="GJ104" s="34" t="e">
        <f>AND(#REF!,"AAAAAH17+L8=")</f>
        <v>#REF!</v>
      </c>
      <c r="GK104" s="34" t="e">
        <f>IF(#REF!,"AAAAAH17+MA=",0)</f>
        <v>#REF!</v>
      </c>
      <c r="GL104" s="34" t="e">
        <f>AND(#REF!,"AAAAAH17+ME=")</f>
        <v>#REF!</v>
      </c>
      <c r="GM104" s="34" t="e">
        <f>AND(#REF!,"AAAAAH17+MI=")</f>
        <v>#REF!</v>
      </c>
      <c r="GN104" s="34" t="e">
        <f>AND(#REF!,"AAAAAH17+MM=")</f>
        <v>#REF!</v>
      </c>
      <c r="GO104" s="34" t="e">
        <f>AND(#REF!,"AAAAAH17+MQ=")</f>
        <v>#REF!</v>
      </c>
      <c r="GP104" s="34" t="e">
        <f>AND(#REF!,"AAAAAH17+MU=")</f>
        <v>#REF!</v>
      </c>
      <c r="GQ104" s="34" t="e">
        <f>AND(#REF!,"AAAAAH17+MY=")</f>
        <v>#REF!</v>
      </c>
      <c r="GR104" s="34" t="e">
        <f>AND(#REF!,"AAAAAH17+Mc=")</f>
        <v>#REF!</v>
      </c>
      <c r="GS104" s="34" t="e">
        <f>AND(#REF!,"AAAAAH17+Mg=")</f>
        <v>#REF!</v>
      </c>
      <c r="GT104" s="34" t="e">
        <f>AND(#REF!,"AAAAAH17+Mk=")</f>
        <v>#REF!</v>
      </c>
      <c r="GU104" s="34" t="e">
        <f>AND(#REF!,"AAAAAH17+Mo=")</f>
        <v>#REF!</v>
      </c>
      <c r="GV104" s="34" t="e">
        <f>AND(#REF!,"AAAAAH17+Ms=")</f>
        <v>#REF!</v>
      </c>
      <c r="GW104" s="34" t="e">
        <f>AND(#REF!,"AAAAAH17+Mw=")</f>
        <v>#REF!</v>
      </c>
      <c r="GX104" s="34" t="e">
        <f>AND(#REF!,"AAAAAH17+M0=")</f>
        <v>#REF!</v>
      </c>
      <c r="GY104" s="34" t="e">
        <f>AND(#REF!,"AAAAAH17+M4=")</f>
        <v>#REF!</v>
      </c>
      <c r="GZ104" s="34" t="e">
        <f>AND(#REF!,"AAAAAH17+M8=")</f>
        <v>#REF!</v>
      </c>
      <c r="HA104" s="34" t="e">
        <f>AND(#REF!,"AAAAAH17+NA=")</f>
        <v>#REF!</v>
      </c>
      <c r="HB104" s="34" t="e">
        <f>IF(#REF!,"AAAAAH17+NE=",0)</f>
        <v>#REF!</v>
      </c>
      <c r="HC104" s="34" t="e">
        <f>AND(#REF!,"AAAAAH17+NI=")</f>
        <v>#REF!</v>
      </c>
      <c r="HD104" s="34" t="e">
        <f>AND(#REF!,"AAAAAH17+NM=")</f>
        <v>#REF!</v>
      </c>
      <c r="HE104" s="34" t="e">
        <f>AND(#REF!,"AAAAAH17+NQ=")</f>
        <v>#REF!</v>
      </c>
      <c r="HF104" s="34" t="e">
        <f>AND(#REF!,"AAAAAH17+NU=")</f>
        <v>#REF!</v>
      </c>
      <c r="HG104" s="34" t="e">
        <f>AND(#REF!,"AAAAAH17+NY=")</f>
        <v>#REF!</v>
      </c>
      <c r="HH104" s="34" t="e">
        <f>AND(#REF!,"AAAAAH17+Nc=")</f>
        <v>#REF!</v>
      </c>
      <c r="HI104" s="34" t="e">
        <f>AND(#REF!,"AAAAAH17+Ng=")</f>
        <v>#REF!</v>
      </c>
      <c r="HJ104" s="34" t="e">
        <f>AND(#REF!,"AAAAAH17+Nk=")</f>
        <v>#REF!</v>
      </c>
      <c r="HK104" s="34" t="e">
        <f>AND(#REF!,"AAAAAH17+No=")</f>
        <v>#REF!</v>
      </c>
      <c r="HL104" s="34" t="e">
        <f>AND(#REF!,"AAAAAH17+Ns=")</f>
        <v>#REF!</v>
      </c>
      <c r="HM104" s="34" t="e">
        <f>AND(#REF!,"AAAAAH17+Nw=")</f>
        <v>#REF!</v>
      </c>
      <c r="HN104" s="34" t="e">
        <f>AND(#REF!,"AAAAAH17+N0=")</f>
        <v>#REF!</v>
      </c>
      <c r="HO104" s="34" t="e">
        <f>AND(#REF!,"AAAAAH17+N4=")</f>
        <v>#REF!</v>
      </c>
      <c r="HP104" s="34" t="e">
        <f>AND(#REF!,"AAAAAH17+N8=")</f>
        <v>#REF!</v>
      </c>
      <c r="HQ104" s="34" t="e">
        <f>AND(#REF!,"AAAAAH17+OA=")</f>
        <v>#REF!</v>
      </c>
      <c r="HR104" s="34" t="e">
        <f>AND(#REF!,"AAAAAH17+OE=")</f>
        <v>#REF!</v>
      </c>
      <c r="HS104" s="34" t="e">
        <f>IF(#REF!,"AAAAAH17+OI=",0)</f>
        <v>#REF!</v>
      </c>
      <c r="HT104" s="34" t="e">
        <f>AND(#REF!,"AAAAAH17+OM=")</f>
        <v>#REF!</v>
      </c>
      <c r="HU104" s="34" t="e">
        <f>AND(#REF!,"AAAAAH17+OQ=")</f>
        <v>#REF!</v>
      </c>
      <c r="HV104" s="34" t="e">
        <f>AND(#REF!,"AAAAAH17+OU=")</f>
        <v>#REF!</v>
      </c>
      <c r="HW104" s="34" t="e">
        <f>AND(#REF!,"AAAAAH17+OY=")</f>
        <v>#REF!</v>
      </c>
      <c r="HX104" s="34" t="e">
        <f>AND(#REF!,"AAAAAH17+Oc=")</f>
        <v>#REF!</v>
      </c>
      <c r="HY104" s="34" t="e">
        <f>AND(#REF!,"AAAAAH17+Og=")</f>
        <v>#REF!</v>
      </c>
      <c r="HZ104" s="34" t="e">
        <f>AND(#REF!,"AAAAAH17+Ok=")</f>
        <v>#REF!</v>
      </c>
      <c r="IA104" s="34" t="e">
        <f>AND(#REF!,"AAAAAH17+Oo=")</f>
        <v>#REF!</v>
      </c>
      <c r="IB104" s="34" t="e">
        <f>AND(#REF!,"AAAAAH17+Os=")</f>
        <v>#REF!</v>
      </c>
      <c r="IC104" s="34" t="e">
        <f>AND(#REF!,"AAAAAH17+Ow=")</f>
        <v>#REF!</v>
      </c>
      <c r="ID104" s="34" t="e">
        <f>AND(#REF!,"AAAAAH17+O0=")</f>
        <v>#REF!</v>
      </c>
      <c r="IE104" s="34" t="e">
        <f>AND(#REF!,"AAAAAH17+O4=")</f>
        <v>#REF!</v>
      </c>
      <c r="IF104" s="34" t="e">
        <f>AND(#REF!,"AAAAAH17+O8=")</f>
        <v>#REF!</v>
      </c>
      <c r="IG104" s="34" t="e">
        <f>AND(#REF!,"AAAAAH17+PA=")</f>
        <v>#REF!</v>
      </c>
      <c r="IH104" s="34" t="e">
        <f>AND(#REF!,"AAAAAH17+PE=")</f>
        <v>#REF!</v>
      </c>
      <c r="II104" s="34" t="e">
        <f>AND(#REF!,"AAAAAH17+PI=")</f>
        <v>#REF!</v>
      </c>
      <c r="IJ104" s="34" t="e">
        <f>IF(#REF!,"AAAAAH17+PM=",0)</f>
        <v>#REF!</v>
      </c>
      <c r="IK104" s="34" t="e">
        <f>AND(#REF!,"AAAAAH17+PQ=")</f>
        <v>#REF!</v>
      </c>
      <c r="IL104" s="34" t="e">
        <f>AND(#REF!,"AAAAAH17+PU=")</f>
        <v>#REF!</v>
      </c>
      <c r="IM104" s="34" t="e">
        <f>AND(#REF!,"AAAAAH17+PY=")</f>
        <v>#REF!</v>
      </c>
      <c r="IN104" s="34" t="e">
        <f>AND(#REF!,"AAAAAH17+Pc=")</f>
        <v>#REF!</v>
      </c>
      <c r="IO104" s="34" t="e">
        <f>AND(#REF!,"AAAAAH17+Pg=")</f>
        <v>#REF!</v>
      </c>
      <c r="IP104" s="34" t="e">
        <f>AND(#REF!,"AAAAAH17+Pk=")</f>
        <v>#REF!</v>
      </c>
      <c r="IQ104" s="34" t="e">
        <f>AND(#REF!,"AAAAAH17+Po=")</f>
        <v>#REF!</v>
      </c>
      <c r="IR104" s="34" t="e">
        <f>AND(#REF!,"AAAAAH17+Ps=")</f>
        <v>#REF!</v>
      </c>
      <c r="IS104" s="34" t="e">
        <f>AND(#REF!,"AAAAAH17+Pw=")</f>
        <v>#REF!</v>
      </c>
      <c r="IT104" s="34" t="e">
        <f>AND(#REF!,"AAAAAH17+P0=")</f>
        <v>#REF!</v>
      </c>
      <c r="IU104" s="34" t="e">
        <f>AND(#REF!,"AAAAAH17+P4=")</f>
        <v>#REF!</v>
      </c>
      <c r="IV104" s="34" t="e">
        <f>AND(#REF!,"AAAAAH17+P8=")</f>
        <v>#REF!</v>
      </c>
    </row>
    <row r="105" spans="1:256" ht="12.75" customHeight="1" x14ac:dyDescent="0.2">
      <c r="A105" s="34" t="e">
        <f>AND(#REF!,"AAAAAH2fxwA=")</f>
        <v>#REF!</v>
      </c>
      <c r="B105" s="34" t="e">
        <f>AND(#REF!,"AAAAAH2fxwE=")</f>
        <v>#REF!</v>
      </c>
      <c r="C105" s="34" t="e">
        <f>AND(#REF!,"AAAAAH2fxwI=")</f>
        <v>#REF!</v>
      </c>
      <c r="D105" s="34" t="e">
        <f>AND(#REF!,"AAAAAH2fxwM=")</f>
        <v>#REF!</v>
      </c>
      <c r="E105" s="34" t="e">
        <f>IF(#REF!,"AAAAAH2fxwQ=",0)</f>
        <v>#REF!</v>
      </c>
      <c r="F105" s="34" t="e">
        <f>AND(#REF!,"AAAAAH2fxwU=")</f>
        <v>#REF!</v>
      </c>
      <c r="G105" s="34" t="e">
        <f>AND(#REF!,"AAAAAH2fxwY=")</f>
        <v>#REF!</v>
      </c>
      <c r="H105" s="34" t="e">
        <f>AND(#REF!,"AAAAAH2fxwc=")</f>
        <v>#REF!</v>
      </c>
      <c r="I105" s="34" t="e">
        <f>AND(#REF!,"AAAAAH2fxwg=")</f>
        <v>#REF!</v>
      </c>
      <c r="J105" s="34" t="e">
        <f>AND(#REF!,"AAAAAH2fxwk=")</f>
        <v>#REF!</v>
      </c>
      <c r="K105" s="34" t="e">
        <f>AND(#REF!,"AAAAAH2fxwo=")</f>
        <v>#REF!</v>
      </c>
      <c r="L105" s="34" t="e">
        <f>AND(#REF!,"AAAAAH2fxws=")</f>
        <v>#REF!</v>
      </c>
      <c r="M105" s="34" t="e">
        <f>AND(#REF!,"AAAAAH2fxww=")</f>
        <v>#REF!</v>
      </c>
      <c r="N105" s="34" t="e">
        <f>AND(#REF!,"AAAAAH2fxw0=")</f>
        <v>#REF!</v>
      </c>
      <c r="O105" s="34" t="e">
        <f>AND(#REF!,"AAAAAH2fxw4=")</f>
        <v>#REF!</v>
      </c>
      <c r="P105" s="34" t="e">
        <f>AND(#REF!,"AAAAAH2fxw8=")</f>
        <v>#REF!</v>
      </c>
      <c r="Q105" s="34" t="e">
        <f>AND(#REF!,"AAAAAH2fxxA=")</f>
        <v>#REF!</v>
      </c>
      <c r="R105" s="34" t="e">
        <f>AND(#REF!,"AAAAAH2fxxE=")</f>
        <v>#REF!</v>
      </c>
      <c r="S105" s="34" t="e">
        <f>AND(#REF!,"AAAAAH2fxxI=")</f>
        <v>#REF!</v>
      </c>
      <c r="T105" s="34" t="e">
        <f>AND(#REF!,"AAAAAH2fxxM=")</f>
        <v>#REF!</v>
      </c>
      <c r="U105" s="34" t="e">
        <f>AND(#REF!,"AAAAAH2fxxQ=")</f>
        <v>#REF!</v>
      </c>
      <c r="V105" s="34" t="e">
        <f>IF(#REF!,"AAAAAH2fxxU=",0)</f>
        <v>#REF!</v>
      </c>
      <c r="W105" s="34" t="e">
        <f>AND(#REF!,"AAAAAH2fxxY=")</f>
        <v>#REF!</v>
      </c>
      <c r="X105" s="34" t="e">
        <f>AND(#REF!,"AAAAAH2fxxc=")</f>
        <v>#REF!</v>
      </c>
      <c r="Y105" s="34" t="e">
        <f>AND(#REF!,"AAAAAH2fxxg=")</f>
        <v>#REF!</v>
      </c>
      <c r="Z105" s="34" t="e">
        <f>AND(#REF!,"AAAAAH2fxxk=")</f>
        <v>#REF!</v>
      </c>
      <c r="AA105" s="34" t="e">
        <f>AND(#REF!,"AAAAAH2fxxo=")</f>
        <v>#REF!</v>
      </c>
      <c r="AB105" s="34" t="e">
        <f>AND(#REF!,"AAAAAH2fxxs=")</f>
        <v>#REF!</v>
      </c>
      <c r="AC105" s="34" t="e">
        <f>AND(#REF!,"AAAAAH2fxxw=")</f>
        <v>#REF!</v>
      </c>
      <c r="AD105" s="34" t="e">
        <f>AND(#REF!,"AAAAAH2fxx0=")</f>
        <v>#REF!</v>
      </c>
      <c r="AE105" s="34" t="e">
        <f>AND(#REF!,"AAAAAH2fxx4=")</f>
        <v>#REF!</v>
      </c>
      <c r="AF105" s="34" t="e">
        <f>AND(#REF!,"AAAAAH2fxx8=")</f>
        <v>#REF!</v>
      </c>
      <c r="AG105" s="34" t="e">
        <f>AND(#REF!,"AAAAAH2fxyA=")</f>
        <v>#REF!</v>
      </c>
      <c r="AH105" s="34" t="e">
        <f>AND(#REF!,"AAAAAH2fxyE=")</f>
        <v>#REF!</v>
      </c>
      <c r="AI105" s="34" t="e">
        <f>AND(#REF!,"AAAAAH2fxyI=")</f>
        <v>#REF!</v>
      </c>
      <c r="AJ105" s="34" t="e">
        <f>AND(#REF!,"AAAAAH2fxyM=")</f>
        <v>#REF!</v>
      </c>
      <c r="AK105" s="34" t="e">
        <f>AND(#REF!,"AAAAAH2fxyQ=")</f>
        <v>#REF!</v>
      </c>
      <c r="AL105" s="34" t="e">
        <f>AND(#REF!,"AAAAAH2fxyU=")</f>
        <v>#REF!</v>
      </c>
      <c r="AM105" s="34" t="e">
        <f>IF(#REF!,"AAAAAH2fxyY=",0)</f>
        <v>#REF!</v>
      </c>
      <c r="AN105" s="34" t="e">
        <f>AND(#REF!,"AAAAAH2fxyc=")</f>
        <v>#REF!</v>
      </c>
      <c r="AO105" s="34" t="e">
        <f>AND(#REF!,"AAAAAH2fxyg=")</f>
        <v>#REF!</v>
      </c>
      <c r="AP105" s="34" t="e">
        <f>AND(#REF!,"AAAAAH2fxyk=")</f>
        <v>#REF!</v>
      </c>
      <c r="AQ105" s="34" t="e">
        <f>AND(#REF!,"AAAAAH2fxyo=")</f>
        <v>#REF!</v>
      </c>
      <c r="AR105" s="34" t="e">
        <f>AND(#REF!,"AAAAAH2fxys=")</f>
        <v>#REF!</v>
      </c>
      <c r="AS105" s="34" t="e">
        <f>AND(#REF!,"AAAAAH2fxyw=")</f>
        <v>#REF!</v>
      </c>
      <c r="AT105" s="34" t="e">
        <f>AND(#REF!,"AAAAAH2fxy0=")</f>
        <v>#REF!</v>
      </c>
      <c r="AU105" s="34" t="e">
        <f>AND(#REF!,"AAAAAH2fxy4=")</f>
        <v>#REF!</v>
      </c>
      <c r="AV105" s="34" t="e">
        <f>AND(#REF!,"AAAAAH2fxy8=")</f>
        <v>#REF!</v>
      </c>
      <c r="AW105" s="34" t="e">
        <f>AND(#REF!,"AAAAAH2fxzA=")</f>
        <v>#REF!</v>
      </c>
      <c r="AX105" s="34" t="e">
        <f>AND(#REF!,"AAAAAH2fxzE=")</f>
        <v>#REF!</v>
      </c>
      <c r="AY105" s="34" t="e">
        <f>AND(#REF!,"AAAAAH2fxzI=")</f>
        <v>#REF!</v>
      </c>
      <c r="AZ105" s="34" t="e">
        <f>AND(#REF!,"AAAAAH2fxzM=")</f>
        <v>#REF!</v>
      </c>
      <c r="BA105" s="34" t="e">
        <f>AND(#REF!,"AAAAAH2fxzQ=")</f>
        <v>#REF!</v>
      </c>
      <c r="BB105" s="34" t="e">
        <f>AND(#REF!,"AAAAAH2fxzU=")</f>
        <v>#REF!</v>
      </c>
      <c r="BC105" s="34" t="e">
        <f>AND(#REF!,"AAAAAH2fxzY=")</f>
        <v>#REF!</v>
      </c>
      <c r="BD105" s="34" t="e">
        <f>IF(#REF!,"AAAAAH2fxzc=",0)</f>
        <v>#REF!</v>
      </c>
      <c r="BE105" s="34" t="e">
        <f>AND(#REF!,"AAAAAH2fxzg=")</f>
        <v>#REF!</v>
      </c>
      <c r="BF105" s="34" t="e">
        <f>AND(#REF!,"AAAAAH2fxzk=")</f>
        <v>#REF!</v>
      </c>
      <c r="BG105" s="34" t="e">
        <f>AND(#REF!,"AAAAAH2fxzo=")</f>
        <v>#REF!</v>
      </c>
      <c r="BH105" s="34" t="e">
        <f>AND(#REF!,"AAAAAH2fxzs=")</f>
        <v>#REF!</v>
      </c>
      <c r="BI105" s="34" t="e">
        <f>AND(#REF!,"AAAAAH2fxzw=")</f>
        <v>#REF!</v>
      </c>
      <c r="BJ105" s="34" t="e">
        <f>AND(#REF!,"AAAAAH2fxz0=")</f>
        <v>#REF!</v>
      </c>
      <c r="BK105" s="34" t="e">
        <f>AND(#REF!,"AAAAAH2fxz4=")</f>
        <v>#REF!</v>
      </c>
      <c r="BL105" s="34" t="e">
        <f>AND(#REF!,"AAAAAH2fxz8=")</f>
        <v>#REF!</v>
      </c>
      <c r="BM105" s="34" t="e">
        <f>AND(#REF!,"AAAAAH2fx0A=")</f>
        <v>#REF!</v>
      </c>
      <c r="BN105" s="34" t="e">
        <f>AND(#REF!,"AAAAAH2fx0E=")</f>
        <v>#REF!</v>
      </c>
      <c r="BO105" s="34" t="e">
        <f>AND(#REF!,"AAAAAH2fx0I=")</f>
        <v>#REF!</v>
      </c>
      <c r="BP105" s="34" t="e">
        <f>AND(#REF!,"AAAAAH2fx0M=")</f>
        <v>#REF!</v>
      </c>
      <c r="BQ105" s="34" t="e">
        <f>AND(#REF!,"AAAAAH2fx0Q=")</f>
        <v>#REF!</v>
      </c>
      <c r="BR105" s="34" t="e">
        <f>AND(#REF!,"AAAAAH2fx0U=")</f>
        <v>#REF!</v>
      </c>
      <c r="BS105" s="34" t="e">
        <f>AND(#REF!,"AAAAAH2fx0Y=")</f>
        <v>#REF!</v>
      </c>
      <c r="BT105" s="34" t="e">
        <f>AND(#REF!,"AAAAAH2fx0c=")</f>
        <v>#REF!</v>
      </c>
      <c r="BU105" s="34" t="e">
        <f>IF(#REF!,"AAAAAH2fx0g=",0)</f>
        <v>#REF!</v>
      </c>
      <c r="BV105" s="34" t="e">
        <f>AND(#REF!,"AAAAAH2fx0k=")</f>
        <v>#REF!</v>
      </c>
      <c r="BW105" s="34" t="e">
        <f>AND(#REF!,"AAAAAH2fx0o=")</f>
        <v>#REF!</v>
      </c>
      <c r="BX105" s="34" t="e">
        <f>AND(#REF!,"AAAAAH2fx0s=")</f>
        <v>#REF!</v>
      </c>
      <c r="BY105" s="34" t="e">
        <f>AND(#REF!,"AAAAAH2fx0w=")</f>
        <v>#REF!</v>
      </c>
      <c r="BZ105" s="34" t="e">
        <f>AND(#REF!,"AAAAAH2fx00=")</f>
        <v>#REF!</v>
      </c>
      <c r="CA105" s="34" t="e">
        <f>AND(#REF!,"AAAAAH2fx04=")</f>
        <v>#REF!</v>
      </c>
      <c r="CB105" s="34" t="e">
        <f>AND(#REF!,"AAAAAH2fx08=")</f>
        <v>#REF!</v>
      </c>
      <c r="CC105" s="34" t="e">
        <f>AND(#REF!,"AAAAAH2fx1A=")</f>
        <v>#REF!</v>
      </c>
      <c r="CD105" s="34" t="e">
        <f>AND(#REF!,"AAAAAH2fx1E=")</f>
        <v>#REF!</v>
      </c>
      <c r="CE105" s="34" t="e">
        <f>AND(#REF!,"AAAAAH2fx1I=")</f>
        <v>#REF!</v>
      </c>
      <c r="CF105" s="34" t="e">
        <f>AND(#REF!,"AAAAAH2fx1M=")</f>
        <v>#REF!</v>
      </c>
      <c r="CG105" s="34" t="e">
        <f>AND(#REF!,"AAAAAH2fx1Q=")</f>
        <v>#REF!</v>
      </c>
      <c r="CH105" s="34" t="e">
        <f>AND(#REF!,"AAAAAH2fx1U=")</f>
        <v>#REF!</v>
      </c>
      <c r="CI105" s="34" t="e">
        <f>AND(#REF!,"AAAAAH2fx1Y=")</f>
        <v>#REF!</v>
      </c>
      <c r="CJ105" s="34" t="e">
        <f>AND(#REF!,"AAAAAH2fx1c=")</f>
        <v>#REF!</v>
      </c>
      <c r="CK105" s="34" t="e">
        <f>AND(#REF!,"AAAAAH2fx1g=")</f>
        <v>#REF!</v>
      </c>
      <c r="CL105" s="34" t="e">
        <f>IF(#REF!,"AAAAAH2fx1k=",0)</f>
        <v>#REF!</v>
      </c>
      <c r="CM105" s="34" t="e">
        <f>AND(#REF!,"AAAAAH2fx1o=")</f>
        <v>#REF!</v>
      </c>
      <c r="CN105" s="34" t="e">
        <f>AND(#REF!,"AAAAAH2fx1s=")</f>
        <v>#REF!</v>
      </c>
      <c r="CO105" s="34" t="e">
        <f>AND(#REF!,"AAAAAH2fx1w=")</f>
        <v>#REF!</v>
      </c>
      <c r="CP105" s="34" t="e">
        <f>AND(#REF!,"AAAAAH2fx10=")</f>
        <v>#REF!</v>
      </c>
      <c r="CQ105" s="34" t="e">
        <f>AND(#REF!,"AAAAAH2fx14=")</f>
        <v>#REF!</v>
      </c>
      <c r="CR105" s="34" t="e">
        <f>AND(#REF!,"AAAAAH2fx18=")</f>
        <v>#REF!</v>
      </c>
      <c r="CS105" s="34" t="e">
        <f>AND(#REF!,"AAAAAH2fx2A=")</f>
        <v>#REF!</v>
      </c>
      <c r="CT105" s="34" t="e">
        <f>AND(#REF!,"AAAAAH2fx2E=")</f>
        <v>#REF!</v>
      </c>
      <c r="CU105" s="34" t="e">
        <f>AND(#REF!,"AAAAAH2fx2I=")</f>
        <v>#REF!</v>
      </c>
      <c r="CV105" s="34" t="e">
        <f>AND(#REF!,"AAAAAH2fx2M=")</f>
        <v>#REF!</v>
      </c>
      <c r="CW105" s="34" t="e">
        <f>AND(#REF!,"AAAAAH2fx2Q=")</f>
        <v>#REF!</v>
      </c>
      <c r="CX105" s="34" t="e">
        <f>AND(#REF!,"AAAAAH2fx2U=")</f>
        <v>#REF!</v>
      </c>
      <c r="CY105" s="34" t="e">
        <f>AND(#REF!,"AAAAAH2fx2Y=")</f>
        <v>#REF!</v>
      </c>
      <c r="CZ105" s="34" t="e">
        <f>AND(#REF!,"AAAAAH2fx2c=")</f>
        <v>#REF!</v>
      </c>
      <c r="DA105" s="34" t="e">
        <f>AND(#REF!,"AAAAAH2fx2g=")</f>
        <v>#REF!</v>
      </c>
      <c r="DB105" s="34" t="e">
        <f>AND(#REF!,"AAAAAH2fx2k=")</f>
        <v>#REF!</v>
      </c>
      <c r="DC105" s="34" t="e">
        <f>IF(#REF!,"AAAAAH2fx2o=",0)</f>
        <v>#REF!</v>
      </c>
      <c r="DD105" s="34" t="e">
        <f>AND(#REF!,"AAAAAH2fx2s=")</f>
        <v>#REF!</v>
      </c>
      <c r="DE105" s="34" t="e">
        <f>AND(#REF!,"AAAAAH2fx2w=")</f>
        <v>#REF!</v>
      </c>
      <c r="DF105" s="34" t="e">
        <f>AND(#REF!,"AAAAAH2fx20=")</f>
        <v>#REF!</v>
      </c>
      <c r="DG105" s="34" t="e">
        <f>AND(#REF!,"AAAAAH2fx24=")</f>
        <v>#REF!</v>
      </c>
      <c r="DH105" s="34" t="e">
        <f>AND(#REF!,"AAAAAH2fx28=")</f>
        <v>#REF!</v>
      </c>
      <c r="DI105" s="34" t="e">
        <f>AND(#REF!,"AAAAAH2fx3A=")</f>
        <v>#REF!</v>
      </c>
      <c r="DJ105" s="34" t="e">
        <f>AND(#REF!,"AAAAAH2fx3E=")</f>
        <v>#REF!</v>
      </c>
      <c r="DK105" s="34" t="e">
        <f>AND(#REF!,"AAAAAH2fx3I=")</f>
        <v>#REF!</v>
      </c>
      <c r="DL105" s="34" t="e">
        <f>AND(#REF!,"AAAAAH2fx3M=")</f>
        <v>#REF!</v>
      </c>
      <c r="DM105" s="34" t="e">
        <f>AND(#REF!,"AAAAAH2fx3Q=")</f>
        <v>#REF!</v>
      </c>
      <c r="DN105" s="34" t="e">
        <f>AND(#REF!,"AAAAAH2fx3U=")</f>
        <v>#REF!</v>
      </c>
      <c r="DO105" s="34" t="e">
        <f>AND(#REF!,"AAAAAH2fx3Y=")</f>
        <v>#REF!</v>
      </c>
      <c r="DP105" s="34" t="e">
        <f>AND(#REF!,"AAAAAH2fx3c=")</f>
        <v>#REF!</v>
      </c>
      <c r="DQ105" s="34" t="e">
        <f>AND(#REF!,"AAAAAH2fx3g=")</f>
        <v>#REF!</v>
      </c>
      <c r="DR105" s="34" t="e">
        <f>AND(#REF!,"AAAAAH2fx3k=")</f>
        <v>#REF!</v>
      </c>
      <c r="DS105" s="34" t="e">
        <f>AND(#REF!,"AAAAAH2fx3o=")</f>
        <v>#REF!</v>
      </c>
      <c r="DT105" s="34" t="e">
        <f>IF(#REF!,"AAAAAH2fx3s=",0)</f>
        <v>#REF!</v>
      </c>
      <c r="DU105" s="34" t="e">
        <f>AND(#REF!,"AAAAAH2fx3w=")</f>
        <v>#REF!</v>
      </c>
      <c r="DV105" s="34" t="e">
        <f>AND(#REF!,"AAAAAH2fx30=")</f>
        <v>#REF!</v>
      </c>
      <c r="DW105" s="34" t="e">
        <f>AND(#REF!,"AAAAAH2fx34=")</f>
        <v>#REF!</v>
      </c>
      <c r="DX105" s="34" t="e">
        <f>AND(#REF!,"AAAAAH2fx38=")</f>
        <v>#REF!</v>
      </c>
      <c r="DY105" s="34" t="e">
        <f>AND(#REF!,"AAAAAH2fx4A=")</f>
        <v>#REF!</v>
      </c>
      <c r="DZ105" s="34" t="e">
        <f>AND(#REF!,"AAAAAH2fx4E=")</f>
        <v>#REF!</v>
      </c>
      <c r="EA105" s="34" t="e">
        <f>AND(#REF!,"AAAAAH2fx4I=")</f>
        <v>#REF!</v>
      </c>
      <c r="EB105" s="34" t="e">
        <f>AND(#REF!,"AAAAAH2fx4M=")</f>
        <v>#REF!</v>
      </c>
      <c r="EC105" s="34" t="e">
        <f>AND(#REF!,"AAAAAH2fx4Q=")</f>
        <v>#REF!</v>
      </c>
      <c r="ED105" s="34" t="e">
        <f>AND(#REF!,"AAAAAH2fx4U=")</f>
        <v>#REF!</v>
      </c>
      <c r="EE105" s="34" t="e">
        <f>AND(#REF!,"AAAAAH2fx4Y=")</f>
        <v>#REF!</v>
      </c>
      <c r="EF105" s="34" t="e">
        <f>AND(#REF!,"AAAAAH2fx4c=")</f>
        <v>#REF!</v>
      </c>
      <c r="EG105" s="34" t="e">
        <f>AND(#REF!,"AAAAAH2fx4g=")</f>
        <v>#REF!</v>
      </c>
      <c r="EH105" s="34" t="e">
        <f>AND(#REF!,"AAAAAH2fx4k=")</f>
        <v>#REF!</v>
      </c>
      <c r="EI105" s="34" t="e">
        <f>AND(#REF!,"AAAAAH2fx4o=")</f>
        <v>#REF!</v>
      </c>
      <c r="EJ105" s="34" t="e">
        <f>AND(#REF!,"AAAAAH2fx4s=")</f>
        <v>#REF!</v>
      </c>
      <c r="EK105" s="34" t="e">
        <f>IF(#REF!,"AAAAAH2fx4w=",0)</f>
        <v>#REF!</v>
      </c>
      <c r="EL105" s="34" t="e">
        <f>AND(#REF!,"AAAAAH2fx40=")</f>
        <v>#REF!</v>
      </c>
      <c r="EM105" s="34" t="e">
        <f>AND(#REF!,"AAAAAH2fx44=")</f>
        <v>#REF!</v>
      </c>
      <c r="EN105" s="34" t="e">
        <f>AND(#REF!,"AAAAAH2fx48=")</f>
        <v>#REF!</v>
      </c>
      <c r="EO105" s="34" t="e">
        <f>AND(#REF!,"AAAAAH2fx5A=")</f>
        <v>#REF!</v>
      </c>
      <c r="EP105" s="34" t="e">
        <f>AND(#REF!,"AAAAAH2fx5E=")</f>
        <v>#REF!</v>
      </c>
      <c r="EQ105" s="34" t="e">
        <f>AND(#REF!,"AAAAAH2fx5I=")</f>
        <v>#REF!</v>
      </c>
      <c r="ER105" s="34" t="e">
        <f>AND(#REF!,"AAAAAH2fx5M=")</f>
        <v>#REF!</v>
      </c>
      <c r="ES105" s="34" t="e">
        <f>AND(#REF!,"AAAAAH2fx5Q=")</f>
        <v>#REF!</v>
      </c>
      <c r="ET105" s="34" t="e">
        <f>AND(#REF!,"AAAAAH2fx5U=")</f>
        <v>#REF!</v>
      </c>
      <c r="EU105" s="34" t="e">
        <f>AND(#REF!,"AAAAAH2fx5Y=")</f>
        <v>#REF!</v>
      </c>
      <c r="EV105" s="34" t="e">
        <f>AND(#REF!,"AAAAAH2fx5c=")</f>
        <v>#REF!</v>
      </c>
      <c r="EW105" s="34" t="e">
        <f>AND(#REF!,"AAAAAH2fx5g=")</f>
        <v>#REF!</v>
      </c>
      <c r="EX105" s="34" t="e">
        <f>AND(#REF!,"AAAAAH2fx5k=")</f>
        <v>#REF!</v>
      </c>
      <c r="EY105" s="34" t="e">
        <f>AND(#REF!,"AAAAAH2fx5o=")</f>
        <v>#REF!</v>
      </c>
      <c r="EZ105" s="34" t="e">
        <f>AND(#REF!,"AAAAAH2fx5s=")</f>
        <v>#REF!</v>
      </c>
      <c r="FA105" s="34" t="e">
        <f>AND(#REF!,"AAAAAH2fx5w=")</f>
        <v>#REF!</v>
      </c>
      <c r="FB105" s="34" t="e">
        <f>IF(#REF!,"AAAAAH2fx50=",0)</f>
        <v>#REF!</v>
      </c>
      <c r="FC105" s="34" t="e">
        <f>AND(#REF!,"AAAAAH2fx54=")</f>
        <v>#REF!</v>
      </c>
      <c r="FD105" s="34" t="e">
        <f>AND(#REF!,"AAAAAH2fx58=")</f>
        <v>#REF!</v>
      </c>
      <c r="FE105" s="34" t="e">
        <f>AND(#REF!,"AAAAAH2fx6A=")</f>
        <v>#REF!</v>
      </c>
      <c r="FF105" s="34" t="e">
        <f>AND(#REF!,"AAAAAH2fx6E=")</f>
        <v>#REF!</v>
      </c>
      <c r="FG105" s="34" t="e">
        <f>AND(#REF!,"AAAAAH2fx6I=")</f>
        <v>#REF!</v>
      </c>
      <c r="FH105" s="34" t="e">
        <f>AND(#REF!,"AAAAAH2fx6M=")</f>
        <v>#REF!</v>
      </c>
      <c r="FI105" s="34" t="e">
        <f>AND(#REF!,"AAAAAH2fx6Q=")</f>
        <v>#REF!</v>
      </c>
      <c r="FJ105" s="34" t="e">
        <f>AND(#REF!,"AAAAAH2fx6U=")</f>
        <v>#REF!</v>
      </c>
      <c r="FK105" s="34" t="e">
        <f>AND(#REF!,"AAAAAH2fx6Y=")</f>
        <v>#REF!</v>
      </c>
      <c r="FL105" s="34" t="e">
        <f>AND(#REF!,"AAAAAH2fx6c=")</f>
        <v>#REF!</v>
      </c>
      <c r="FM105" s="34" t="e">
        <f>AND(#REF!,"AAAAAH2fx6g=")</f>
        <v>#REF!</v>
      </c>
      <c r="FN105" s="34" t="e">
        <f>AND(#REF!,"AAAAAH2fx6k=")</f>
        <v>#REF!</v>
      </c>
      <c r="FO105" s="34" t="e">
        <f>AND(#REF!,"AAAAAH2fx6o=")</f>
        <v>#REF!</v>
      </c>
      <c r="FP105" s="34" t="e">
        <f>AND(#REF!,"AAAAAH2fx6s=")</f>
        <v>#REF!</v>
      </c>
      <c r="FQ105" s="34" t="e">
        <f>AND(#REF!,"AAAAAH2fx6w=")</f>
        <v>#REF!</v>
      </c>
      <c r="FR105" s="34" t="e">
        <f>AND(#REF!,"AAAAAH2fx60=")</f>
        <v>#REF!</v>
      </c>
      <c r="FS105" s="34" t="e">
        <f>IF(#REF!,"AAAAAH2fx64=",0)</f>
        <v>#REF!</v>
      </c>
      <c r="FT105" s="34" t="e">
        <f>AND(#REF!,"AAAAAH2fx68=")</f>
        <v>#REF!</v>
      </c>
      <c r="FU105" s="34" t="e">
        <f>AND(#REF!,"AAAAAH2fx7A=")</f>
        <v>#REF!</v>
      </c>
      <c r="FV105" s="34" t="e">
        <f>AND(#REF!,"AAAAAH2fx7E=")</f>
        <v>#REF!</v>
      </c>
      <c r="FW105" s="34" t="e">
        <f>AND(#REF!,"AAAAAH2fx7I=")</f>
        <v>#REF!</v>
      </c>
      <c r="FX105" s="34" t="e">
        <f>AND(#REF!,"AAAAAH2fx7M=")</f>
        <v>#REF!</v>
      </c>
      <c r="FY105" s="34" t="e">
        <f>AND(#REF!,"AAAAAH2fx7Q=")</f>
        <v>#REF!</v>
      </c>
      <c r="FZ105" s="34" t="e">
        <f>AND(#REF!,"AAAAAH2fx7U=")</f>
        <v>#REF!</v>
      </c>
      <c r="GA105" s="34" t="e">
        <f>AND(#REF!,"AAAAAH2fx7Y=")</f>
        <v>#REF!</v>
      </c>
      <c r="GB105" s="34" t="e">
        <f>AND(#REF!,"AAAAAH2fx7c=")</f>
        <v>#REF!</v>
      </c>
      <c r="GC105" s="34" t="e">
        <f>AND(#REF!,"AAAAAH2fx7g=")</f>
        <v>#REF!</v>
      </c>
      <c r="GD105" s="34" t="e">
        <f>AND(#REF!,"AAAAAH2fx7k=")</f>
        <v>#REF!</v>
      </c>
      <c r="GE105" s="34" t="e">
        <f>AND(#REF!,"AAAAAH2fx7o=")</f>
        <v>#REF!</v>
      </c>
      <c r="GF105" s="34" t="e">
        <f>AND(#REF!,"AAAAAH2fx7s=")</f>
        <v>#REF!</v>
      </c>
      <c r="GG105" s="34" t="e">
        <f>AND(#REF!,"AAAAAH2fx7w=")</f>
        <v>#REF!</v>
      </c>
      <c r="GH105" s="34" t="e">
        <f>AND(#REF!,"AAAAAH2fx70=")</f>
        <v>#REF!</v>
      </c>
      <c r="GI105" s="34" t="e">
        <f>AND(#REF!,"AAAAAH2fx74=")</f>
        <v>#REF!</v>
      </c>
      <c r="GJ105" s="34" t="e">
        <f>IF(#REF!,"AAAAAH2fx78=",0)</f>
        <v>#REF!</v>
      </c>
      <c r="GK105" s="34" t="e">
        <f>AND(#REF!,"AAAAAH2fx8A=")</f>
        <v>#REF!</v>
      </c>
      <c r="GL105" s="34" t="e">
        <f>AND(#REF!,"AAAAAH2fx8E=")</f>
        <v>#REF!</v>
      </c>
      <c r="GM105" s="34" t="e">
        <f>AND(#REF!,"AAAAAH2fx8I=")</f>
        <v>#REF!</v>
      </c>
      <c r="GN105" s="34" t="e">
        <f>AND(#REF!,"AAAAAH2fx8M=")</f>
        <v>#REF!</v>
      </c>
      <c r="GO105" s="34" t="e">
        <f>AND(#REF!,"AAAAAH2fx8Q=")</f>
        <v>#REF!</v>
      </c>
      <c r="GP105" s="34" t="e">
        <f>AND(#REF!,"AAAAAH2fx8U=")</f>
        <v>#REF!</v>
      </c>
      <c r="GQ105" s="34" t="e">
        <f>AND(#REF!,"AAAAAH2fx8Y=")</f>
        <v>#REF!</v>
      </c>
      <c r="GR105" s="34" t="e">
        <f>AND(#REF!,"AAAAAH2fx8c=")</f>
        <v>#REF!</v>
      </c>
      <c r="GS105" s="34" t="e">
        <f>AND(#REF!,"AAAAAH2fx8g=")</f>
        <v>#REF!</v>
      </c>
      <c r="GT105" s="34" t="e">
        <f>AND(#REF!,"AAAAAH2fx8k=")</f>
        <v>#REF!</v>
      </c>
      <c r="GU105" s="34" t="e">
        <f>AND(#REF!,"AAAAAH2fx8o=")</f>
        <v>#REF!</v>
      </c>
      <c r="GV105" s="34" t="e">
        <f>AND(#REF!,"AAAAAH2fx8s=")</f>
        <v>#REF!</v>
      </c>
      <c r="GW105" s="34" t="e">
        <f>AND(#REF!,"AAAAAH2fx8w=")</f>
        <v>#REF!</v>
      </c>
      <c r="GX105" s="34" t="e">
        <f>AND(#REF!,"AAAAAH2fx80=")</f>
        <v>#REF!</v>
      </c>
      <c r="GY105" s="34" t="e">
        <f>AND(#REF!,"AAAAAH2fx84=")</f>
        <v>#REF!</v>
      </c>
      <c r="GZ105" s="34" t="e">
        <f>AND(#REF!,"AAAAAH2fx88=")</f>
        <v>#REF!</v>
      </c>
      <c r="HA105" s="34" t="e">
        <f>IF(#REF!,"AAAAAH2fx9A=",0)</f>
        <v>#REF!</v>
      </c>
      <c r="HB105" s="34" t="e">
        <f>AND(#REF!,"AAAAAH2fx9E=")</f>
        <v>#REF!</v>
      </c>
      <c r="HC105" s="34" t="e">
        <f>AND(#REF!,"AAAAAH2fx9I=")</f>
        <v>#REF!</v>
      </c>
      <c r="HD105" s="34" t="e">
        <f>AND(#REF!,"AAAAAH2fx9M=")</f>
        <v>#REF!</v>
      </c>
      <c r="HE105" s="34" t="e">
        <f>AND(#REF!,"AAAAAH2fx9Q=")</f>
        <v>#REF!</v>
      </c>
      <c r="HF105" s="34" t="e">
        <f>AND(#REF!,"AAAAAH2fx9U=")</f>
        <v>#REF!</v>
      </c>
      <c r="HG105" s="34" t="e">
        <f>AND(#REF!,"AAAAAH2fx9Y=")</f>
        <v>#REF!</v>
      </c>
      <c r="HH105" s="34" t="e">
        <f>AND(#REF!,"AAAAAH2fx9c=")</f>
        <v>#REF!</v>
      </c>
      <c r="HI105" s="34" t="e">
        <f>AND(#REF!,"AAAAAH2fx9g=")</f>
        <v>#REF!</v>
      </c>
      <c r="HJ105" s="34" t="e">
        <f>AND(#REF!,"AAAAAH2fx9k=")</f>
        <v>#REF!</v>
      </c>
      <c r="HK105" s="34" t="e">
        <f>AND(#REF!,"AAAAAH2fx9o=")</f>
        <v>#REF!</v>
      </c>
      <c r="HL105" s="34" t="e">
        <f>AND(#REF!,"AAAAAH2fx9s=")</f>
        <v>#REF!</v>
      </c>
      <c r="HM105" s="34" t="e">
        <f>AND(#REF!,"AAAAAH2fx9w=")</f>
        <v>#REF!</v>
      </c>
      <c r="HN105" s="34" t="e">
        <f>AND(#REF!,"AAAAAH2fx90=")</f>
        <v>#REF!</v>
      </c>
      <c r="HO105" s="34" t="e">
        <f>AND(#REF!,"AAAAAH2fx94=")</f>
        <v>#REF!</v>
      </c>
      <c r="HP105" s="34" t="e">
        <f>AND(#REF!,"AAAAAH2fx98=")</f>
        <v>#REF!</v>
      </c>
      <c r="HQ105" s="34" t="e">
        <f>AND(#REF!,"AAAAAH2fx+A=")</f>
        <v>#REF!</v>
      </c>
      <c r="HR105" s="34" t="e">
        <f>IF(#REF!,"AAAAAH2fx+E=",0)</f>
        <v>#REF!</v>
      </c>
      <c r="HS105" s="34" t="e">
        <f>AND(#REF!,"AAAAAH2fx+I=")</f>
        <v>#REF!</v>
      </c>
      <c r="HT105" s="34" t="e">
        <f>AND(#REF!,"AAAAAH2fx+M=")</f>
        <v>#REF!</v>
      </c>
      <c r="HU105" s="34" t="e">
        <f>AND(#REF!,"AAAAAH2fx+Q=")</f>
        <v>#REF!</v>
      </c>
      <c r="HV105" s="34" t="e">
        <f>AND(#REF!,"AAAAAH2fx+U=")</f>
        <v>#REF!</v>
      </c>
      <c r="HW105" s="34" t="e">
        <f>AND(#REF!,"AAAAAH2fx+Y=")</f>
        <v>#REF!</v>
      </c>
      <c r="HX105" s="34" t="e">
        <f>AND(#REF!,"AAAAAH2fx+c=")</f>
        <v>#REF!</v>
      </c>
      <c r="HY105" s="34" t="e">
        <f>AND(#REF!,"AAAAAH2fx+g=")</f>
        <v>#REF!</v>
      </c>
      <c r="HZ105" s="34" t="e">
        <f>AND(#REF!,"AAAAAH2fx+k=")</f>
        <v>#REF!</v>
      </c>
      <c r="IA105" s="34" t="e">
        <f>AND(#REF!,"AAAAAH2fx+o=")</f>
        <v>#REF!</v>
      </c>
      <c r="IB105" s="34" t="e">
        <f>AND(#REF!,"AAAAAH2fx+s=")</f>
        <v>#REF!</v>
      </c>
      <c r="IC105" s="34" t="e">
        <f>AND(#REF!,"AAAAAH2fx+w=")</f>
        <v>#REF!</v>
      </c>
      <c r="ID105" s="34" t="e">
        <f>AND(#REF!,"AAAAAH2fx+0=")</f>
        <v>#REF!</v>
      </c>
      <c r="IE105" s="34" t="e">
        <f>AND(#REF!,"AAAAAH2fx+4=")</f>
        <v>#REF!</v>
      </c>
      <c r="IF105" s="34" t="e">
        <f>AND(#REF!,"AAAAAH2fx+8=")</f>
        <v>#REF!</v>
      </c>
      <c r="IG105" s="34" t="e">
        <f>AND(#REF!,"AAAAAH2fx/A=")</f>
        <v>#REF!</v>
      </c>
      <c r="IH105" s="34" t="e">
        <f>AND(#REF!,"AAAAAH2fx/E=")</f>
        <v>#REF!</v>
      </c>
      <c r="II105" s="34" t="e">
        <f>IF(#REF!,"AAAAAH2fx/I=",0)</f>
        <v>#REF!</v>
      </c>
      <c r="IJ105" s="34" t="e">
        <f>AND(#REF!,"AAAAAH2fx/M=")</f>
        <v>#REF!</v>
      </c>
      <c r="IK105" s="34" t="e">
        <f>AND(#REF!,"AAAAAH2fx/Q=")</f>
        <v>#REF!</v>
      </c>
      <c r="IL105" s="34" t="e">
        <f>AND(#REF!,"AAAAAH2fx/U=")</f>
        <v>#REF!</v>
      </c>
      <c r="IM105" s="34" t="e">
        <f>AND(#REF!,"AAAAAH2fx/Y=")</f>
        <v>#REF!</v>
      </c>
      <c r="IN105" s="34" t="e">
        <f>AND(#REF!,"AAAAAH2fx/c=")</f>
        <v>#REF!</v>
      </c>
      <c r="IO105" s="34" t="e">
        <f>AND(#REF!,"AAAAAH2fx/g=")</f>
        <v>#REF!</v>
      </c>
      <c r="IP105" s="34" t="e">
        <f>AND(#REF!,"AAAAAH2fx/k=")</f>
        <v>#REF!</v>
      </c>
      <c r="IQ105" s="34" t="e">
        <f>AND(#REF!,"AAAAAH2fx/o=")</f>
        <v>#REF!</v>
      </c>
      <c r="IR105" s="34" t="e">
        <f>AND(#REF!,"AAAAAH2fx/s=")</f>
        <v>#REF!</v>
      </c>
      <c r="IS105" s="34" t="e">
        <f>AND(#REF!,"AAAAAH2fx/w=")</f>
        <v>#REF!</v>
      </c>
      <c r="IT105" s="34" t="e">
        <f>AND(#REF!,"AAAAAH2fx/0=")</f>
        <v>#REF!</v>
      </c>
      <c r="IU105" s="34" t="e">
        <f>AND(#REF!,"AAAAAH2fx/4=")</f>
        <v>#REF!</v>
      </c>
      <c r="IV105" s="34" t="e">
        <f>AND(#REF!,"AAAAAH2fx/8=")</f>
        <v>#REF!</v>
      </c>
    </row>
    <row r="106" spans="1:256" ht="12.75" customHeight="1" x14ac:dyDescent="0.2">
      <c r="A106" s="34" t="e">
        <f>AND(#REF!,"AAAAAHHPzAA=")</f>
        <v>#REF!</v>
      </c>
      <c r="B106" s="34" t="e">
        <f>AND(#REF!,"AAAAAHHPzAE=")</f>
        <v>#REF!</v>
      </c>
      <c r="C106" s="34" t="e">
        <f>AND(#REF!,"AAAAAHHPzAI=")</f>
        <v>#REF!</v>
      </c>
      <c r="D106" s="34" t="e">
        <f>IF(#REF!,"AAAAAHHPzAM=",0)</f>
        <v>#REF!</v>
      </c>
      <c r="E106" s="34" t="e">
        <f>AND(#REF!,"AAAAAHHPzAQ=")</f>
        <v>#REF!</v>
      </c>
      <c r="F106" s="34" t="e">
        <f>AND(#REF!,"AAAAAHHPzAU=")</f>
        <v>#REF!</v>
      </c>
      <c r="G106" s="34" t="e">
        <f>AND(#REF!,"AAAAAHHPzAY=")</f>
        <v>#REF!</v>
      </c>
      <c r="H106" s="34" t="e">
        <f>AND(#REF!,"AAAAAHHPzAc=")</f>
        <v>#REF!</v>
      </c>
      <c r="I106" s="34" t="e">
        <f>AND(#REF!,"AAAAAHHPzAg=")</f>
        <v>#REF!</v>
      </c>
      <c r="J106" s="34" t="e">
        <f>AND(#REF!,"AAAAAHHPzAk=")</f>
        <v>#REF!</v>
      </c>
      <c r="K106" s="34" t="e">
        <f>AND(#REF!,"AAAAAHHPzAo=")</f>
        <v>#REF!</v>
      </c>
      <c r="L106" s="34" t="e">
        <f>AND(#REF!,"AAAAAHHPzAs=")</f>
        <v>#REF!</v>
      </c>
      <c r="M106" s="34" t="e">
        <f>AND(#REF!,"AAAAAHHPzAw=")</f>
        <v>#REF!</v>
      </c>
      <c r="N106" s="34" t="e">
        <f>AND(#REF!,"AAAAAHHPzA0=")</f>
        <v>#REF!</v>
      </c>
      <c r="O106" s="34" t="e">
        <f>AND(#REF!,"AAAAAHHPzA4=")</f>
        <v>#REF!</v>
      </c>
      <c r="P106" s="34" t="e">
        <f>AND(#REF!,"AAAAAHHPzA8=")</f>
        <v>#REF!</v>
      </c>
      <c r="Q106" s="34" t="e">
        <f>AND(#REF!,"AAAAAHHPzBA=")</f>
        <v>#REF!</v>
      </c>
      <c r="R106" s="34" t="e">
        <f>AND(#REF!,"AAAAAHHPzBE=")</f>
        <v>#REF!</v>
      </c>
      <c r="S106" s="34" t="e">
        <f>AND(#REF!,"AAAAAHHPzBI=")</f>
        <v>#REF!</v>
      </c>
      <c r="T106" s="34" t="e">
        <f>AND(#REF!,"AAAAAHHPzBM=")</f>
        <v>#REF!</v>
      </c>
      <c r="U106" s="34" t="e">
        <f>IF(#REF!,"AAAAAHHPzBQ=",0)</f>
        <v>#REF!</v>
      </c>
      <c r="V106" s="34" t="e">
        <f>AND(#REF!,"AAAAAHHPzBU=")</f>
        <v>#REF!</v>
      </c>
      <c r="W106" s="34" t="e">
        <f>AND(#REF!,"AAAAAHHPzBY=")</f>
        <v>#REF!</v>
      </c>
      <c r="X106" s="34" t="e">
        <f>AND(#REF!,"AAAAAHHPzBc=")</f>
        <v>#REF!</v>
      </c>
      <c r="Y106" s="34" t="e">
        <f>AND(#REF!,"AAAAAHHPzBg=")</f>
        <v>#REF!</v>
      </c>
      <c r="Z106" s="34" t="e">
        <f>AND(#REF!,"AAAAAHHPzBk=")</f>
        <v>#REF!</v>
      </c>
      <c r="AA106" s="34" t="e">
        <f>AND(#REF!,"AAAAAHHPzBo=")</f>
        <v>#REF!</v>
      </c>
      <c r="AB106" s="34" t="e">
        <f>AND(#REF!,"AAAAAHHPzBs=")</f>
        <v>#REF!</v>
      </c>
      <c r="AC106" s="34" t="e">
        <f>AND(#REF!,"AAAAAHHPzBw=")</f>
        <v>#REF!</v>
      </c>
      <c r="AD106" s="34" t="e">
        <f>AND(#REF!,"AAAAAHHPzB0=")</f>
        <v>#REF!</v>
      </c>
      <c r="AE106" s="34" t="e">
        <f>AND(#REF!,"AAAAAHHPzB4=")</f>
        <v>#REF!</v>
      </c>
      <c r="AF106" s="34" t="e">
        <f>AND(#REF!,"AAAAAHHPzB8=")</f>
        <v>#REF!</v>
      </c>
      <c r="AG106" s="34" t="e">
        <f>AND(#REF!,"AAAAAHHPzCA=")</f>
        <v>#REF!</v>
      </c>
      <c r="AH106" s="34" t="e">
        <f>AND(#REF!,"AAAAAHHPzCE=")</f>
        <v>#REF!</v>
      </c>
      <c r="AI106" s="34" t="e">
        <f>AND(#REF!,"AAAAAHHPzCI=")</f>
        <v>#REF!</v>
      </c>
      <c r="AJ106" s="34" t="e">
        <f>AND(#REF!,"AAAAAHHPzCM=")</f>
        <v>#REF!</v>
      </c>
      <c r="AK106" s="34" t="e">
        <f>AND(#REF!,"AAAAAHHPzCQ=")</f>
        <v>#REF!</v>
      </c>
      <c r="AL106" s="34" t="e">
        <f>IF(#REF!,"AAAAAHHPzCU=",0)</f>
        <v>#REF!</v>
      </c>
      <c r="AM106" s="34" t="e">
        <f>AND(#REF!,"AAAAAHHPzCY=")</f>
        <v>#REF!</v>
      </c>
      <c r="AN106" s="34" t="e">
        <f>AND(#REF!,"AAAAAHHPzCc=")</f>
        <v>#REF!</v>
      </c>
      <c r="AO106" s="34" t="e">
        <f>AND(#REF!,"AAAAAHHPzCg=")</f>
        <v>#REF!</v>
      </c>
      <c r="AP106" s="34" t="e">
        <f>AND(#REF!,"AAAAAHHPzCk=")</f>
        <v>#REF!</v>
      </c>
      <c r="AQ106" s="34" t="e">
        <f>AND(#REF!,"AAAAAHHPzCo=")</f>
        <v>#REF!</v>
      </c>
      <c r="AR106" s="34" t="e">
        <f>AND(#REF!,"AAAAAHHPzCs=")</f>
        <v>#REF!</v>
      </c>
      <c r="AS106" s="34" t="e">
        <f>AND(#REF!,"AAAAAHHPzCw=")</f>
        <v>#REF!</v>
      </c>
      <c r="AT106" s="34" t="e">
        <f>AND(#REF!,"AAAAAHHPzC0=")</f>
        <v>#REF!</v>
      </c>
      <c r="AU106" s="34" t="e">
        <f>AND(#REF!,"AAAAAHHPzC4=")</f>
        <v>#REF!</v>
      </c>
      <c r="AV106" s="34" t="e">
        <f>AND(#REF!,"AAAAAHHPzC8=")</f>
        <v>#REF!</v>
      </c>
      <c r="AW106" s="34" t="e">
        <f>AND(#REF!,"AAAAAHHPzDA=")</f>
        <v>#REF!</v>
      </c>
      <c r="AX106" s="34" t="e">
        <f>AND(#REF!,"AAAAAHHPzDE=")</f>
        <v>#REF!</v>
      </c>
      <c r="AY106" s="34" t="e">
        <f>AND(#REF!,"AAAAAHHPzDI=")</f>
        <v>#REF!</v>
      </c>
      <c r="AZ106" s="34" t="e">
        <f>AND(#REF!,"AAAAAHHPzDM=")</f>
        <v>#REF!</v>
      </c>
      <c r="BA106" s="34" t="e">
        <f>AND(#REF!,"AAAAAHHPzDQ=")</f>
        <v>#REF!</v>
      </c>
      <c r="BB106" s="34" t="e">
        <f>AND(#REF!,"AAAAAHHPzDU=")</f>
        <v>#REF!</v>
      </c>
      <c r="BC106" s="34" t="e">
        <f>IF(#REF!,"AAAAAHHPzDY=",0)</f>
        <v>#REF!</v>
      </c>
      <c r="BD106" s="34" t="e">
        <f>AND(#REF!,"AAAAAHHPzDc=")</f>
        <v>#REF!</v>
      </c>
      <c r="BE106" s="34" t="e">
        <f>AND(#REF!,"AAAAAHHPzDg=")</f>
        <v>#REF!</v>
      </c>
      <c r="BF106" s="34" t="e">
        <f>AND(#REF!,"AAAAAHHPzDk=")</f>
        <v>#REF!</v>
      </c>
      <c r="BG106" s="34" t="e">
        <f>AND(#REF!,"AAAAAHHPzDo=")</f>
        <v>#REF!</v>
      </c>
      <c r="BH106" s="34" t="e">
        <f>AND(#REF!,"AAAAAHHPzDs=")</f>
        <v>#REF!</v>
      </c>
      <c r="BI106" s="34" t="e">
        <f>AND(#REF!,"AAAAAHHPzDw=")</f>
        <v>#REF!</v>
      </c>
      <c r="BJ106" s="34" t="e">
        <f>AND(#REF!,"AAAAAHHPzD0=")</f>
        <v>#REF!</v>
      </c>
      <c r="BK106" s="34" t="e">
        <f>AND(#REF!,"AAAAAHHPzD4=")</f>
        <v>#REF!</v>
      </c>
      <c r="BL106" s="34" t="e">
        <f>AND(#REF!,"AAAAAHHPzD8=")</f>
        <v>#REF!</v>
      </c>
      <c r="BM106" s="34" t="e">
        <f>AND(#REF!,"AAAAAHHPzEA=")</f>
        <v>#REF!</v>
      </c>
      <c r="BN106" s="34" t="e">
        <f>AND(#REF!,"AAAAAHHPzEE=")</f>
        <v>#REF!</v>
      </c>
      <c r="BO106" s="34" t="e">
        <f>AND(#REF!,"AAAAAHHPzEI=")</f>
        <v>#REF!</v>
      </c>
      <c r="BP106" s="34" t="e">
        <f>AND(#REF!,"AAAAAHHPzEM=")</f>
        <v>#REF!</v>
      </c>
      <c r="BQ106" s="34" t="e">
        <f>AND(#REF!,"AAAAAHHPzEQ=")</f>
        <v>#REF!</v>
      </c>
      <c r="BR106" s="34" t="e">
        <f>AND(#REF!,"AAAAAHHPzEU=")</f>
        <v>#REF!</v>
      </c>
      <c r="BS106" s="34" t="e">
        <f>AND(#REF!,"AAAAAHHPzEY=")</f>
        <v>#REF!</v>
      </c>
      <c r="BT106" s="34" t="e">
        <f>IF(#REF!,"AAAAAHHPzEc=",0)</f>
        <v>#REF!</v>
      </c>
      <c r="BU106" s="34" t="e">
        <f>AND(#REF!,"AAAAAHHPzEg=")</f>
        <v>#REF!</v>
      </c>
      <c r="BV106" s="34" t="e">
        <f>AND(#REF!,"AAAAAHHPzEk=")</f>
        <v>#REF!</v>
      </c>
      <c r="BW106" s="34" t="e">
        <f>AND(#REF!,"AAAAAHHPzEo=")</f>
        <v>#REF!</v>
      </c>
      <c r="BX106" s="34" t="e">
        <f>AND(#REF!,"AAAAAHHPzEs=")</f>
        <v>#REF!</v>
      </c>
      <c r="BY106" s="34" t="e">
        <f>AND(#REF!,"AAAAAHHPzEw=")</f>
        <v>#REF!</v>
      </c>
      <c r="BZ106" s="34" t="e">
        <f>AND(#REF!,"AAAAAHHPzE0=")</f>
        <v>#REF!</v>
      </c>
      <c r="CA106" s="34" t="e">
        <f>AND(#REF!,"AAAAAHHPzE4=")</f>
        <v>#REF!</v>
      </c>
      <c r="CB106" s="34" t="e">
        <f>AND(#REF!,"AAAAAHHPzE8=")</f>
        <v>#REF!</v>
      </c>
      <c r="CC106" s="34" t="e">
        <f>AND(#REF!,"AAAAAHHPzFA=")</f>
        <v>#REF!</v>
      </c>
      <c r="CD106" s="34" t="e">
        <f>AND(#REF!,"AAAAAHHPzFE=")</f>
        <v>#REF!</v>
      </c>
      <c r="CE106" s="34" t="e">
        <f>AND(#REF!,"AAAAAHHPzFI=")</f>
        <v>#REF!</v>
      </c>
      <c r="CF106" s="34" t="e">
        <f>AND(#REF!,"AAAAAHHPzFM=")</f>
        <v>#REF!</v>
      </c>
      <c r="CG106" s="34" t="e">
        <f>AND(#REF!,"AAAAAHHPzFQ=")</f>
        <v>#REF!</v>
      </c>
      <c r="CH106" s="34" t="e">
        <f>AND(#REF!,"AAAAAHHPzFU=")</f>
        <v>#REF!</v>
      </c>
      <c r="CI106" s="34" t="e">
        <f>AND(#REF!,"AAAAAHHPzFY=")</f>
        <v>#REF!</v>
      </c>
      <c r="CJ106" s="34" t="e">
        <f>AND(#REF!,"AAAAAHHPzFc=")</f>
        <v>#REF!</v>
      </c>
      <c r="CK106" s="34" t="e">
        <f>IF(#REF!,"AAAAAHHPzFg=",0)</f>
        <v>#REF!</v>
      </c>
      <c r="CL106" s="34" t="e">
        <f>AND(#REF!,"AAAAAHHPzFk=")</f>
        <v>#REF!</v>
      </c>
      <c r="CM106" s="34" t="e">
        <f>AND(#REF!,"AAAAAHHPzFo=")</f>
        <v>#REF!</v>
      </c>
      <c r="CN106" s="34" t="e">
        <f>AND(#REF!,"AAAAAHHPzFs=")</f>
        <v>#REF!</v>
      </c>
      <c r="CO106" s="34" t="e">
        <f>AND(#REF!,"AAAAAHHPzFw=")</f>
        <v>#REF!</v>
      </c>
      <c r="CP106" s="34" t="e">
        <f>AND(#REF!,"AAAAAHHPzF0=")</f>
        <v>#REF!</v>
      </c>
      <c r="CQ106" s="34" t="e">
        <f>AND(#REF!,"AAAAAHHPzF4=")</f>
        <v>#REF!</v>
      </c>
      <c r="CR106" s="34" t="e">
        <f>AND(#REF!,"AAAAAHHPzF8=")</f>
        <v>#REF!</v>
      </c>
      <c r="CS106" s="34" t="e">
        <f>AND(#REF!,"AAAAAHHPzGA=")</f>
        <v>#REF!</v>
      </c>
      <c r="CT106" s="34" t="e">
        <f>AND(#REF!,"AAAAAHHPzGE=")</f>
        <v>#REF!</v>
      </c>
      <c r="CU106" s="34" t="e">
        <f>AND(#REF!,"AAAAAHHPzGI=")</f>
        <v>#REF!</v>
      </c>
      <c r="CV106" s="34" t="e">
        <f>AND(#REF!,"AAAAAHHPzGM=")</f>
        <v>#REF!</v>
      </c>
      <c r="CW106" s="34" t="e">
        <f>AND(#REF!,"AAAAAHHPzGQ=")</f>
        <v>#REF!</v>
      </c>
      <c r="CX106" s="34" t="e">
        <f>AND(#REF!,"AAAAAHHPzGU=")</f>
        <v>#REF!</v>
      </c>
      <c r="CY106" s="34" t="e">
        <f>AND(#REF!,"AAAAAHHPzGY=")</f>
        <v>#REF!</v>
      </c>
      <c r="CZ106" s="34" t="e">
        <f>AND(#REF!,"AAAAAHHPzGc=")</f>
        <v>#REF!</v>
      </c>
      <c r="DA106" s="34" t="e">
        <f>AND(#REF!,"AAAAAHHPzGg=")</f>
        <v>#REF!</v>
      </c>
      <c r="DB106" s="34" t="e">
        <f>IF(#REF!,"AAAAAHHPzGk=",0)</f>
        <v>#REF!</v>
      </c>
      <c r="DC106" s="34" t="e">
        <f>AND(#REF!,"AAAAAHHPzGo=")</f>
        <v>#REF!</v>
      </c>
      <c r="DD106" s="34" t="e">
        <f>AND(#REF!,"AAAAAHHPzGs=")</f>
        <v>#REF!</v>
      </c>
      <c r="DE106" s="34" t="e">
        <f>AND(#REF!,"AAAAAHHPzGw=")</f>
        <v>#REF!</v>
      </c>
      <c r="DF106" s="34" t="e">
        <f>AND(#REF!,"AAAAAHHPzG0=")</f>
        <v>#REF!</v>
      </c>
      <c r="DG106" s="34" t="e">
        <f>AND(#REF!,"AAAAAHHPzG4=")</f>
        <v>#REF!</v>
      </c>
      <c r="DH106" s="34" t="e">
        <f>AND(#REF!,"AAAAAHHPzG8=")</f>
        <v>#REF!</v>
      </c>
      <c r="DI106" s="34" t="e">
        <f>AND(#REF!,"AAAAAHHPzHA=")</f>
        <v>#REF!</v>
      </c>
      <c r="DJ106" s="34" t="e">
        <f>AND(#REF!,"AAAAAHHPzHE=")</f>
        <v>#REF!</v>
      </c>
      <c r="DK106" s="34" t="e">
        <f>AND(#REF!,"AAAAAHHPzHI=")</f>
        <v>#REF!</v>
      </c>
      <c r="DL106" s="34" t="e">
        <f>AND(#REF!,"AAAAAHHPzHM=")</f>
        <v>#REF!</v>
      </c>
      <c r="DM106" s="34" t="e">
        <f>AND(#REF!,"AAAAAHHPzHQ=")</f>
        <v>#REF!</v>
      </c>
      <c r="DN106" s="34" t="e">
        <f>AND(#REF!,"AAAAAHHPzHU=")</f>
        <v>#REF!</v>
      </c>
      <c r="DO106" s="34" t="e">
        <f>AND(#REF!,"AAAAAHHPzHY=")</f>
        <v>#REF!</v>
      </c>
      <c r="DP106" s="34" t="e">
        <f>AND(#REF!,"AAAAAHHPzHc=")</f>
        <v>#REF!</v>
      </c>
      <c r="DQ106" s="34" t="e">
        <f>AND(#REF!,"AAAAAHHPzHg=")</f>
        <v>#REF!</v>
      </c>
      <c r="DR106" s="34" t="e">
        <f>AND(#REF!,"AAAAAHHPzHk=")</f>
        <v>#REF!</v>
      </c>
      <c r="DS106" s="34" t="e">
        <f>IF(#REF!,"AAAAAHHPzHo=",0)</f>
        <v>#REF!</v>
      </c>
      <c r="DT106" s="34" t="e">
        <f>AND(#REF!,"AAAAAHHPzHs=")</f>
        <v>#REF!</v>
      </c>
      <c r="DU106" s="34" t="e">
        <f>AND(#REF!,"AAAAAHHPzHw=")</f>
        <v>#REF!</v>
      </c>
      <c r="DV106" s="34" t="e">
        <f>AND(#REF!,"AAAAAHHPzH0=")</f>
        <v>#REF!</v>
      </c>
      <c r="DW106" s="34" t="e">
        <f>AND(#REF!,"AAAAAHHPzH4=")</f>
        <v>#REF!</v>
      </c>
      <c r="DX106" s="34" t="e">
        <f>AND(#REF!,"AAAAAHHPzH8=")</f>
        <v>#REF!</v>
      </c>
      <c r="DY106" s="34" t="e">
        <f>AND(#REF!,"AAAAAHHPzIA=")</f>
        <v>#REF!</v>
      </c>
      <c r="DZ106" s="34" t="e">
        <f>AND(#REF!,"AAAAAHHPzIE=")</f>
        <v>#REF!</v>
      </c>
      <c r="EA106" s="34" t="e">
        <f>AND(#REF!,"AAAAAHHPzII=")</f>
        <v>#REF!</v>
      </c>
      <c r="EB106" s="34" t="e">
        <f>AND(#REF!,"AAAAAHHPzIM=")</f>
        <v>#REF!</v>
      </c>
      <c r="EC106" s="34" t="e">
        <f>AND(#REF!,"AAAAAHHPzIQ=")</f>
        <v>#REF!</v>
      </c>
      <c r="ED106" s="34" t="e">
        <f>AND(#REF!,"AAAAAHHPzIU=")</f>
        <v>#REF!</v>
      </c>
      <c r="EE106" s="34" t="e">
        <f>AND(#REF!,"AAAAAHHPzIY=")</f>
        <v>#REF!</v>
      </c>
      <c r="EF106" s="34" t="e">
        <f>AND(#REF!,"AAAAAHHPzIc=")</f>
        <v>#REF!</v>
      </c>
      <c r="EG106" s="34" t="e">
        <f>AND(#REF!,"AAAAAHHPzIg=")</f>
        <v>#REF!</v>
      </c>
      <c r="EH106" s="34" t="e">
        <f>AND(#REF!,"AAAAAHHPzIk=")</f>
        <v>#REF!</v>
      </c>
      <c r="EI106" s="34" t="e">
        <f>AND(#REF!,"AAAAAHHPzIo=")</f>
        <v>#REF!</v>
      </c>
      <c r="EJ106" s="34" t="e">
        <f>IF(#REF!,"AAAAAHHPzIs=",0)</f>
        <v>#REF!</v>
      </c>
      <c r="EK106" s="34" t="e">
        <f>AND(#REF!,"AAAAAHHPzIw=")</f>
        <v>#REF!</v>
      </c>
      <c r="EL106" s="34" t="e">
        <f>AND(#REF!,"AAAAAHHPzI0=")</f>
        <v>#REF!</v>
      </c>
      <c r="EM106" s="34" t="e">
        <f>AND(#REF!,"AAAAAHHPzI4=")</f>
        <v>#REF!</v>
      </c>
      <c r="EN106" s="34" t="e">
        <f>AND(#REF!,"AAAAAHHPzI8=")</f>
        <v>#REF!</v>
      </c>
      <c r="EO106" s="34" t="e">
        <f>AND(#REF!,"AAAAAHHPzJA=")</f>
        <v>#REF!</v>
      </c>
      <c r="EP106" s="34" t="e">
        <f>AND(#REF!,"AAAAAHHPzJE=")</f>
        <v>#REF!</v>
      </c>
      <c r="EQ106" s="34" t="e">
        <f>AND(#REF!,"AAAAAHHPzJI=")</f>
        <v>#REF!</v>
      </c>
      <c r="ER106" s="34" t="e">
        <f>AND(#REF!,"AAAAAHHPzJM=")</f>
        <v>#REF!</v>
      </c>
      <c r="ES106" s="34" t="e">
        <f>AND(#REF!,"AAAAAHHPzJQ=")</f>
        <v>#REF!</v>
      </c>
      <c r="ET106" s="34" t="e">
        <f>AND(#REF!,"AAAAAHHPzJU=")</f>
        <v>#REF!</v>
      </c>
      <c r="EU106" s="34" t="e">
        <f>AND(#REF!,"AAAAAHHPzJY=")</f>
        <v>#REF!</v>
      </c>
      <c r="EV106" s="34" t="e">
        <f>AND(#REF!,"AAAAAHHPzJc=")</f>
        <v>#REF!</v>
      </c>
      <c r="EW106" s="34" t="e">
        <f>AND(#REF!,"AAAAAHHPzJg=")</f>
        <v>#REF!</v>
      </c>
      <c r="EX106" s="34" t="e">
        <f>AND(#REF!,"AAAAAHHPzJk=")</f>
        <v>#REF!</v>
      </c>
      <c r="EY106" s="34" t="e">
        <f>AND(#REF!,"AAAAAHHPzJo=")</f>
        <v>#REF!</v>
      </c>
      <c r="EZ106" s="34" t="e">
        <f>AND(#REF!,"AAAAAHHPzJs=")</f>
        <v>#REF!</v>
      </c>
      <c r="FA106" s="34" t="e">
        <f>IF(#REF!,"AAAAAHHPzJw=",0)</f>
        <v>#REF!</v>
      </c>
      <c r="FB106" s="34" t="e">
        <f>AND(#REF!,"AAAAAHHPzJ0=")</f>
        <v>#REF!</v>
      </c>
      <c r="FC106" s="34" t="e">
        <f>AND(#REF!,"AAAAAHHPzJ4=")</f>
        <v>#REF!</v>
      </c>
      <c r="FD106" s="34" t="e">
        <f>AND(#REF!,"AAAAAHHPzJ8=")</f>
        <v>#REF!</v>
      </c>
      <c r="FE106" s="34" t="e">
        <f>AND(#REF!,"AAAAAHHPzKA=")</f>
        <v>#REF!</v>
      </c>
      <c r="FF106" s="34" t="e">
        <f>AND(#REF!,"AAAAAHHPzKE=")</f>
        <v>#REF!</v>
      </c>
      <c r="FG106" s="34" t="e">
        <f>AND(#REF!,"AAAAAHHPzKI=")</f>
        <v>#REF!</v>
      </c>
      <c r="FH106" s="34" t="e">
        <f>AND(#REF!,"AAAAAHHPzKM=")</f>
        <v>#REF!</v>
      </c>
      <c r="FI106" s="34" t="e">
        <f>AND(#REF!,"AAAAAHHPzKQ=")</f>
        <v>#REF!</v>
      </c>
      <c r="FJ106" s="34" t="e">
        <f>AND(#REF!,"AAAAAHHPzKU=")</f>
        <v>#REF!</v>
      </c>
      <c r="FK106" s="34" t="e">
        <f>AND(#REF!,"AAAAAHHPzKY=")</f>
        <v>#REF!</v>
      </c>
      <c r="FL106" s="34" t="e">
        <f>AND(#REF!,"AAAAAHHPzKc=")</f>
        <v>#REF!</v>
      </c>
      <c r="FM106" s="34" t="e">
        <f>AND(#REF!,"AAAAAHHPzKg=")</f>
        <v>#REF!</v>
      </c>
      <c r="FN106" s="34" t="e">
        <f>AND(#REF!,"AAAAAHHPzKk=")</f>
        <v>#REF!</v>
      </c>
      <c r="FO106" s="34" t="e">
        <f>AND(#REF!,"AAAAAHHPzKo=")</f>
        <v>#REF!</v>
      </c>
      <c r="FP106" s="34" t="e">
        <f>AND(#REF!,"AAAAAHHPzKs=")</f>
        <v>#REF!</v>
      </c>
      <c r="FQ106" s="34" t="e">
        <f>AND(#REF!,"AAAAAHHPzKw=")</f>
        <v>#REF!</v>
      </c>
      <c r="FR106" s="34" t="e">
        <f>IF(#REF!,"AAAAAHHPzK0=",0)</f>
        <v>#REF!</v>
      </c>
      <c r="FS106" s="34" t="e">
        <f>AND(#REF!,"AAAAAHHPzK4=")</f>
        <v>#REF!</v>
      </c>
      <c r="FT106" s="34" t="e">
        <f>AND(#REF!,"AAAAAHHPzK8=")</f>
        <v>#REF!</v>
      </c>
      <c r="FU106" s="34" t="e">
        <f>AND(#REF!,"AAAAAHHPzLA=")</f>
        <v>#REF!</v>
      </c>
      <c r="FV106" s="34" t="e">
        <f>AND(#REF!,"AAAAAHHPzLE=")</f>
        <v>#REF!</v>
      </c>
      <c r="FW106" s="34" t="e">
        <f>AND(#REF!,"AAAAAHHPzLI=")</f>
        <v>#REF!</v>
      </c>
      <c r="FX106" s="34" t="e">
        <f>AND(#REF!,"AAAAAHHPzLM=")</f>
        <v>#REF!</v>
      </c>
      <c r="FY106" s="34" t="e">
        <f>AND(#REF!,"AAAAAHHPzLQ=")</f>
        <v>#REF!</v>
      </c>
      <c r="FZ106" s="34" t="e">
        <f>AND(#REF!,"AAAAAHHPzLU=")</f>
        <v>#REF!</v>
      </c>
      <c r="GA106" s="34" t="e">
        <f>AND(#REF!,"AAAAAHHPzLY=")</f>
        <v>#REF!</v>
      </c>
      <c r="GB106" s="34" t="e">
        <f>AND(#REF!,"AAAAAHHPzLc=")</f>
        <v>#REF!</v>
      </c>
      <c r="GC106" s="34" t="e">
        <f>AND(#REF!,"AAAAAHHPzLg=")</f>
        <v>#REF!</v>
      </c>
      <c r="GD106" s="34" t="e">
        <f>AND(#REF!,"AAAAAHHPzLk=")</f>
        <v>#REF!</v>
      </c>
      <c r="GE106" s="34" t="e">
        <f>AND(#REF!,"AAAAAHHPzLo=")</f>
        <v>#REF!</v>
      </c>
      <c r="GF106" s="34" t="e">
        <f>AND(#REF!,"AAAAAHHPzLs=")</f>
        <v>#REF!</v>
      </c>
      <c r="GG106" s="34" t="e">
        <f>AND(#REF!,"AAAAAHHPzLw=")</f>
        <v>#REF!</v>
      </c>
      <c r="GH106" s="34" t="e">
        <f>AND(#REF!,"AAAAAHHPzL0=")</f>
        <v>#REF!</v>
      </c>
      <c r="GI106" s="34" t="e">
        <f>IF(#REF!,"AAAAAHHPzL4=",0)</f>
        <v>#REF!</v>
      </c>
      <c r="GJ106" s="34" t="e">
        <f>AND(#REF!,"AAAAAHHPzL8=")</f>
        <v>#REF!</v>
      </c>
      <c r="GK106" s="34" t="e">
        <f>AND(#REF!,"AAAAAHHPzMA=")</f>
        <v>#REF!</v>
      </c>
      <c r="GL106" s="34" t="e">
        <f>AND(#REF!,"AAAAAHHPzME=")</f>
        <v>#REF!</v>
      </c>
      <c r="GM106" s="34" t="e">
        <f>AND(#REF!,"AAAAAHHPzMI=")</f>
        <v>#REF!</v>
      </c>
      <c r="GN106" s="34" t="e">
        <f>AND(#REF!,"AAAAAHHPzMM=")</f>
        <v>#REF!</v>
      </c>
      <c r="GO106" s="34" t="e">
        <f>AND(#REF!,"AAAAAHHPzMQ=")</f>
        <v>#REF!</v>
      </c>
      <c r="GP106" s="34" t="e">
        <f>AND(#REF!,"AAAAAHHPzMU=")</f>
        <v>#REF!</v>
      </c>
      <c r="GQ106" s="34" t="e">
        <f>AND(#REF!,"AAAAAHHPzMY=")</f>
        <v>#REF!</v>
      </c>
      <c r="GR106" s="34" t="e">
        <f>AND(#REF!,"AAAAAHHPzMc=")</f>
        <v>#REF!</v>
      </c>
      <c r="GS106" s="34" t="e">
        <f>AND(#REF!,"AAAAAHHPzMg=")</f>
        <v>#REF!</v>
      </c>
      <c r="GT106" s="34" t="e">
        <f>AND(#REF!,"AAAAAHHPzMk=")</f>
        <v>#REF!</v>
      </c>
      <c r="GU106" s="34" t="e">
        <f>AND(#REF!,"AAAAAHHPzMo=")</f>
        <v>#REF!</v>
      </c>
      <c r="GV106" s="34" t="e">
        <f>AND(#REF!,"AAAAAHHPzMs=")</f>
        <v>#REF!</v>
      </c>
      <c r="GW106" s="34" t="e">
        <f>AND(#REF!,"AAAAAHHPzMw=")</f>
        <v>#REF!</v>
      </c>
      <c r="GX106" s="34" t="e">
        <f>AND(#REF!,"AAAAAHHPzM0=")</f>
        <v>#REF!</v>
      </c>
      <c r="GY106" s="34" t="e">
        <f>AND(#REF!,"AAAAAHHPzM4=")</f>
        <v>#REF!</v>
      </c>
      <c r="GZ106" s="34" t="e">
        <f>IF(#REF!,"AAAAAHHPzM8=",0)</f>
        <v>#REF!</v>
      </c>
      <c r="HA106" s="34" t="e">
        <f>AND(#REF!,"AAAAAHHPzNA=")</f>
        <v>#REF!</v>
      </c>
      <c r="HB106" s="34" t="e">
        <f>AND(#REF!,"AAAAAHHPzNE=")</f>
        <v>#REF!</v>
      </c>
      <c r="HC106" s="34" t="e">
        <f>AND(#REF!,"AAAAAHHPzNI=")</f>
        <v>#REF!</v>
      </c>
      <c r="HD106" s="34" t="e">
        <f>AND(#REF!,"AAAAAHHPzNM=")</f>
        <v>#REF!</v>
      </c>
      <c r="HE106" s="34" t="e">
        <f>AND(#REF!,"AAAAAHHPzNQ=")</f>
        <v>#REF!</v>
      </c>
      <c r="HF106" s="34" t="e">
        <f>AND(#REF!,"AAAAAHHPzNU=")</f>
        <v>#REF!</v>
      </c>
      <c r="HG106" s="34" t="e">
        <f>AND(#REF!,"AAAAAHHPzNY=")</f>
        <v>#REF!</v>
      </c>
      <c r="HH106" s="34" t="e">
        <f>AND(#REF!,"AAAAAHHPzNc=")</f>
        <v>#REF!</v>
      </c>
      <c r="HI106" s="34" t="e">
        <f>AND(#REF!,"AAAAAHHPzNg=")</f>
        <v>#REF!</v>
      </c>
      <c r="HJ106" s="34" t="e">
        <f>AND(#REF!,"AAAAAHHPzNk=")</f>
        <v>#REF!</v>
      </c>
      <c r="HK106" s="34" t="e">
        <f>AND(#REF!,"AAAAAHHPzNo=")</f>
        <v>#REF!</v>
      </c>
      <c r="HL106" s="34" t="e">
        <f>AND(#REF!,"AAAAAHHPzNs=")</f>
        <v>#REF!</v>
      </c>
      <c r="HM106" s="34" t="e">
        <f>AND(#REF!,"AAAAAHHPzNw=")</f>
        <v>#REF!</v>
      </c>
      <c r="HN106" s="34" t="e">
        <f>AND(#REF!,"AAAAAHHPzN0=")</f>
        <v>#REF!</v>
      </c>
      <c r="HO106" s="34" t="e">
        <f>AND(#REF!,"AAAAAHHPzN4=")</f>
        <v>#REF!</v>
      </c>
      <c r="HP106" s="34" t="e">
        <f>AND(#REF!,"AAAAAHHPzN8=")</f>
        <v>#REF!</v>
      </c>
      <c r="HQ106" s="34" t="e">
        <f>IF(#REF!,"AAAAAHHPzOA=",0)</f>
        <v>#REF!</v>
      </c>
      <c r="HR106" s="34" t="e">
        <f>AND(#REF!,"AAAAAHHPzOE=")</f>
        <v>#REF!</v>
      </c>
      <c r="HS106" s="34" t="e">
        <f>AND(#REF!,"AAAAAHHPzOI=")</f>
        <v>#REF!</v>
      </c>
      <c r="HT106" s="34" t="e">
        <f>AND(#REF!,"AAAAAHHPzOM=")</f>
        <v>#REF!</v>
      </c>
      <c r="HU106" s="34" t="e">
        <f>AND(#REF!,"AAAAAHHPzOQ=")</f>
        <v>#REF!</v>
      </c>
      <c r="HV106" s="34" t="e">
        <f>AND(#REF!,"AAAAAHHPzOU=")</f>
        <v>#REF!</v>
      </c>
      <c r="HW106" s="34" t="e">
        <f>AND(#REF!,"AAAAAHHPzOY=")</f>
        <v>#REF!</v>
      </c>
      <c r="HX106" s="34" t="e">
        <f>AND(#REF!,"AAAAAHHPzOc=")</f>
        <v>#REF!</v>
      </c>
      <c r="HY106" s="34" t="e">
        <f>AND(#REF!,"AAAAAHHPzOg=")</f>
        <v>#REF!</v>
      </c>
      <c r="HZ106" s="34" t="e">
        <f>AND(#REF!,"AAAAAHHPzOk=")</f>
        <v>#REF!</v>
      </c>
      <c r="IA106" s="34" t="e">
        <f>AND(#REF!,"AAAAAHHPzOo=")</f>
        <v>#REF!</v>
      </c>
      <c r="IB106" s="34" t="e">
        <f>AND(#REF!,"AAAAAHHPzOs=")</f>
        <v>#REF!</v>
      </c>
      <c r="IC106" s="34" t="e">
        <f>AND(#REF!,"AAAAAHHPzOw=")</f>
        <v>#REF!</v>
      </c>
      <c r="ID106" s="34" t="e">
        <f>AND(#REF!,"AAAAAHHPzO0=")</f>
        <v>#REF!</v>
      </c>
      <c r="IE106" s="34" t="e">
        <f>AND(#REF!,"AAAAAHHPzO4=")</f>
        <v>#REF!</v>
      </c>
      <c r="IF106" s="34" t="e">
        <f>AND(#REF!,"AAAAAHHPzO8=")</f>
        <v>#REF!</v>
      </c>
      <c r="IG106" s="34" t="e">
        <f>AND(#REF!,"AAAAAHHPzPA=")</f>
        <v>#REF!</v>
      </c>
      <c r="IH106" s="34" t="e">
        <f>IF(#REF!,"AAAAAHHPzPE=",0)</f>
        <v>#REF!</v>
      </c>
      <c r="II106" s="34" t="e">
        <f>AND(#REF!,"AAAAAHHPzPI=")</f>
        <v>#REF!</v>
      </c>
      <c r="IJ106" s="34" t="e">
        <f>AND(#REF!,"AAAAAHHPzPM=")</f>
        <v>#REF!</v>
      </c>
      <c r="IK106" s="34" t="e">
        <f>AND(#REF!,"AAAAAHHPzPQ=")</f>
        <v>#REF!</v>
      </c>
      <c r="IL106" s="34" t="e">
        <f>AND(#REF!,"AAAAAHHPzPU=")</f>
        <v>#REF!</v>
      </c>
      <c r="IM106" s="34" t="e">
        <f>AND(#REF!,"AAAAAHHPzPY=")</f>
        <v>#REF!</v>
      </c>
      <c r="IN106" s="34" t="e">
        <f>AND(#REF!,"AAAAAHHPzPc=")</f>
        <v>#REF!</v>
      </c>
      <c r="IO106" s="34" t="e">
        <f>AND(#REF!,"AAAAAHHPzPg=")</f>
        <v>#REF!</v>
      </c>
      <c r="IP106" s="34" t="e">
        <f>AND(#REF!,"AAAAAHHPzPk=")</f>
        <v>#REF!</v>
      </c>
      <c r="IQ106" s="34" t="e">
        <f>AND(#REF!,"AAAAAHHPzPo=")</f>
        <v>#REF!</v>
      </c>
      <c r="IR106" s="34" t="e">
        <f>AND(#REF!,"AAAAAHHPzPs=")</f>
        <v>#REF!</v>
      </c>
      <c r="IS106" s="34" t="e">
        <f>AND(#REF!,"AAAAAHHPzPw=")</f>
        <v>#REF!</v>
      </c>
      <c r="IT106" s="34" t="e">
        <f>AND(#REF!,"AAAAAHHPzP0=")</f>
        <v>#REF!</v>
      </c>
      <c r="IU106" s="34" t="e">
        <f>AND(#REF!,"AAAAAHHPzP4=")</f>
        <v>#REF!</v>
      </c>
      <c r="IV106" s="34" t="e">
        <f>AND(#REF!,"AAAAAHHPzP8=")</f>
        <v>#REF!</v>
      </c>
    </row>
    <row r="107" spans="1:256" ht="12.75" customHeight="1" x14ac:dyDescent="0.2">
      <c r="A107" s="34" t="e">
        <f>AND(#REF!,"AAAAAHu/9gA=")</f>
        <v>#REF!</v>
      </c>
      <c r="B107" s="34" t="e">
        <f>AND(#REF!,"AAAAAHu/9gE=")</f>
        <v>#REF!</v>
      </c>
      <c r="C107" s="34" t="e">
        <f>IF(#REF!,"AAAAAHu/9gI=",0)</f>
        <v>#REF!</v>
      </c>
      <c r="D107" s="34" t="e">
        <f>AND(#REF!,"AAAAAHu/9gM=")</f>
        <v>#REF!</v>
      </c>
      <c r="E107" s="34" t="e">
        <f>AND(#REF!,"AAAAAHu/9gQ=")</f>
        <v>#REF!</v>
      </c>
      <c r="F107" s="34" t="e">
        <f>AND(#REF!,"AAAAAHu/9gU=")</f>
        <v>#REF!</v>
      </c>
      <c r="G107" s="34" t="e">
        <f>AND(#REF!,"AAAAAHu/9gY=")</f>
        <v>#REF!</v>
      </c>
      <c r="H107" s="34" t="e">
        <f>AND(#REF!,"AAAAAHu/9gc=")</f>
        <v>#REF!</v>
      </c>
      <c r="I107" s="34" t="e">
        <f>AND(#REF!,"AAAAAHu/9gg=")</f>
        <v>#REF!</v>
      </c>
      <c r="J107" s="34" t="e">
        <f>AND(#REF!,"AAAAAHu/9gk=")</f>
        <v>#REF!</v>
      </c>
      <c r="K107" s="34" t="e">
        <f>AND(#REF!,"AAAAAHu/9go=")</f>
        <v>#REF!</v>
      </c>
      <c r="L107" s="34" t="e">
        <f>AND(#REF!,"AAAAAHu/9gs=")</f>
        <v>#REF!</v>
      </c>
      <c r="M107" s="34" t="e">
        <f>AND(#REF!,"AAAAAHu/9gw=")</f>
        <v>#REF!</v>
      </c>
      <c r="N107" s="34" t="e">
        <f>AND(#REF!,"AAAAAHu/9g0=")</f>
        <v>#REF!</v>
      </c>
      <c r="O107" s="34" t="e">
        <f>AND(#REF!,"AAAAAHu/9g4=")</f>
        <v>#REF!</v>
      </c>
      <c r="P107" s="34" t="e">
        <f>AND(#REF!,"AAAAAHu/9g8=")</f>
        <v>#REF!</v>
      </c>
      <c r="Q107" s="34" t="e">
        <f>AND(#REF!,"AAAAAHu/9hA=")</f>
        <v>#REF!</v>
      </c>
      <c r="R107" s="34" t="e">
        <f>AND(#REF!,"AAAAAHu/9hE=")</f>
        <v>#REF!</v>
      </c>
      <c r="S107" s="34" t="e">
        <f>AND(#REF!,"AAAAAHu/9hI=")</f>
        <v>#REF!</v>
      </c>
      <c r="T107" s="34" t="e">
        <f>IF(#REF!,"AAAAAHu/9hM=",0)</f>
        <v>#REF!</v>
      </c>
      <c r="U107" s="34" t="e">
        <f>AND(#REF!,"AAAAAHu/9hQ=")</f>
        <v>#REF!</v>
      </c>
      <c r="V107" s="34" t="e">
        <f>AND(#REF!,"AAAAAHu/9hU=")</f>
        <v>#REF!</v>
      </c>
      <c r="W107" s="34" t="e">
        <f>AND(#REF!,"AAAAAHu/9hY=")</f>
        <v>#REF!</v>
      </c>
      <c r="X107" s="34" t="e">
        <f>AND(#REF!,"AAAAAHu/9hc=")</f>
        <v>#REF!</v>
      </c>
      <c r="Y107" s="34" t="e">
        <f>AND(#REF!,"AAAAAHu/9hg=")</f>
        <v>#REF!</v>
      </c>
      <c r="Z107" s="34" t="e">
        <f>AND(#REF!,"AAAAAHu/9hk=")</f>
        <v>#REF!</v>
      </c>
      <c r="AA107" s="34" t="e">
        <f>AND(#REF!,"AAAAAHu/9ho=")</f>
        <v>#REF!</v>
      </c>
      <c r="AB107" s="34" t="e">
        <f>AND(#REF!,"AAAAAHu/9hs=")</f>
        <v>#REF!</v>
      </c>
      <c r="AC107" s="34" t="e">
        <f>AND(#REF!,"AAAAAHu/9hw=")</f>
        <v>#REF!</v>
      </c>
      <c r="AD107" s="34" t="e">
        <f>AND(#REF!,"AAAAAHu/9h0=")</f>
        <v>#REF!</v>
      </c>
      <c r="AE107" s="34" t="e">
        <f>AND(#REF!,"AAAAAHu/9h4=")</f>
        <v>#REF!</v>
      </c>
      <c r="AF107" s="34" t="e">
        <f>AND(#REF!,"AAAAAHu/9h8=")</f>
        <v>#REF!</v>
      </c>
      <c r="AG107" s="34" t="e">
        <f>AND(#REF!,"AAAAAHu/9iA=")</f>
        <v>#REF!</v>
      </c>
      <c r="AH107" s="34" t="e">
        <f>AND(#REF!,"AAAAAHu/9iE=")</f>
        <v>#REF!</v>
      </c>
      <c r="AI107" s="34" t="e">
        <f>AND(#REF!,"AAAAAHu/9iI=")</f>
        <v>#REF!</v>
      </c>
      <c r="AJ107" s="34" t="e">
        <f>AND(#REF!,"AAAAAHu/9iM=")</f>
        <v>#REF!</v>
      </c>
      <c r="AK107" s="34" t="e">
        <f>IF(#REF!,"AAAAAHu/9iQ=",0)</f>
        <v>#REF!</v>
      </c>
      <c r="AL107" s="34" t="e">
        <f>AND(#REF!,"AAAAAHu/9iU=")</f>
        <v>#REF!</v>
      </c>
      <c r="AM107" s="34" t="e">
        <f>AND(#REF!,"AAAAAHu/9iY=")</f>
        <v>#REF!</v>
      </c>
      <c r="AN107" s="34" t="e">
        <f>AND(#REF!,"AAAAAHu/9ic=")</f>
        <v>#REF!</v>
      </c>
      <c r="AO107" s="34" t="e">
        <f>AND(#REF!,"AAAAAHu/9ig=")</f>
        <v>#REF!</v>
      </c>
      <c r="AP107" s="34" t="e">
        <f>AND(#REF!,"AAAAAHu/9ik=")</f>
        <v>#REF!</v>
      </c>
      <c r="AQ107" s="34" t="e">
        <f>AND(#REF!,"AAAAAHu/9io=")</f>
        <v>#REF!</v>
      </c>
      <c r="AR107" s="34" t="e">
        <f>AND(#REF!,"AAAAAHu/9is=")</f>
        <v>#REF!</v>
      </c>
      <c r="AS107" s="34" t="e">
        <f>AND(#REF!,"AAAAAHu/9iw=")</f>
        <v>#REF!</v>
      </c>
      <c r="AT107" s="34" t="e">
        <f>AND(#REF!,"AAAAAHu/9i0=")</f>
        <v>#REF!</v>
      </c>
      <c r="AU107" s="34" t="e">
        <f>AND(#REF!,"AAAAAHu/9i4=")</f>
        <v>#REF!</v>
      </c>
      <c r="AV107" s="34" t="e">
        <f>AND(#REF!,"AAAAAHu/9i8=")</f>
        <v>#REF!</v>
      </c>
      <c r="AW107" s="34" t="e">
        <f>AND(#REF!,"AAAAAHu/9jA=")</f>
        <v>#REF!</v>
      </c>
      <c r="AX107" s="34" t="e">
        <f>AND(#REF!,"AAAAAHu/9jE=")</f>
        <v>#REF!</v>
      </c>
      <c r="AY107" s="34" t="e">
        <f>AND(#REF!,"AAAAAHu/9jI=")</f>
        <v>#REF!</v>
      </c>
      <c r="AZ107" s="34" t="e">
        <f>AND(#REF!,"AAAAAHu/9jM=")</f>
        <v>#REF!</v>
      </c>
      <c r="BA107" s="34" t="e">
        <f>AND(#REF!,"AAAAAHu/9jQ=")</f>
        <v>#REF!</v>
      </c>
      <c r="BB107" s="34" t="e">
        <f>IF(#REF!,"AAAAAHu/9jU=",0)</f>
        <v>#REF!</v>
      </c>
      <c r="BC107" s="34" t="e">
        <f>AND(#REF!,"AAAAAHu/9jY=")</f>
        <v>#REF!</v>
      </c>
      <c r="BD107" s="34" t="e">
        <f>AND(#REF!,"AAAAAHu/9jc=")</f>
        <v>#REF!</v>
      </c>
      <c r="BE107" s="34" t="e">
        <f>AND(#REF!,"AAAAAHu/9jg=")</f>
        <v>#REF!</v>
      </c>
      <c r="BF107" s="34" t="e">
        <f>AND(#REF!,"AAAAAHu/9jk=")</f>
        <v>#REF!</v>
      </c>
      <c r="BG107" s="34" t="e">
        <f>AND(#REF!,"AAAAAHu/9jo=")</f>
        <v>#REF!</v>
      </c>
      <c r="BH107" s="34" t="e">
        <f>AND(#REF!,"AAAAAHu/9js=")</f>
        <v>#REF!</v>
      </c>
      <c r="BI107" s="34" t="e">
        <f>AND(#REF!,"AAAAAHu/9jw=")</f>
        <v>#REF!</v>
      </c>
      <c r="BJ107" s="34" t="e">
        <f>AND(#REF!,"AAAAAHu/9j0=")</f>
        <v>#REF!</v>
      </c>
      <c r="BK107" s="34" t="e">
        <f>AND(#REF!,"AAAAAHu/9j4=")</f>
        <v>#REF!</v>
      </c>
      <c r="BL107" s="34" t="e">
        <f>AND(#REF!,"AAAAAHu/9j8=")</f>
        <v>#REF!</v>
      </c>
      <c r="BM107" s="34" t="e">
        <f>AND(#REF!,"AAAAAHu/9kA=")</f>
        <v>#REF!</v>
      </c>
      <c r="BN107" s="34" t="e">
        <f>AND(#REF!,"AAAAAHu/9kE=")</f>
        <v>#REF!</v>
      </c>
      <c r="BO107" s="34" t="e">
        <f>AND(#REF!,"AAAAAHu/9kI=")</f>
        <v>#REF!</v>
      </c>
      <c r="BP107" s="34" t="e">
        <f>AND(#REF!,"AAAAAHu/9kM=")</f>
        <v>#REF!</v>
      </c>
      <c r="BQ107" s="34" t="e">
        <f>AND(#REF!,"AAAAAHu/9kQ=")</f>
        <v>#REF!</v>
      </c>
      <c r="BR107" s="34" t="e">
        <f>AND(#REF!,"AAAAAHu/9kU=")</f>
        <v>#REF!</v>
      </c>
      <c r="BS107" s="34" t="e">
        <f>IF(#REF!,"AAAAAHu/9kY=",0)</f>
        <v>#REF!</v>
      </c>
      <c r="BT107" s="34" t="e">
        <f>AND(#REF!,"AAAAAHu/9kc=")</f>
        <v>#REF!</v>
      </c>
      <c r="BU107" s="34" t="e">
        <f>AND(#REF!,"AAAAAHu/9kg=")</f>
        <v>#REF!</v>
      </c>
      <c r="BV107" s="34" t="e">
        <f>AND(#REF!,"AAAAAHu/9kk=")</f>
        <v>#REF!</v>
      </c>
      <c r="BW107" s="34" t="e">
        <f>AND(#REF!,"AAAAAHu/9ko=")</f>
        <v>#REF!</v>
      </c>
      <c r="BX107" s="34" t="e">
        <f>AND(#REF!,"AAAAAHu/9ks=")</f>
        <v>#REF!</v>
      </c>
      <c r="BY107" s="34" t="e">
        <f>AND(#REF!,"AAAAAHu/9kw=")</f>
        <v>#REF!</v>
      </c>
      <c r="BZ107" s="34" t="e">
        <f>AND(#REF!,"AAAAAHu/9k0=")</f>
        <v>#REF!</v>
      </c>
      <c r="CA107" s="34" t="e">
        <f>AND(#REF!,"AAAAAHu/9k4=")</f>
        <v>#REF!</v>
      </c>
      <c r="CB107" s="34" t="e">
        <f>AND(#REF!,"AAAAAHu/9k8=")</f>
        <v>#REF!</v>
      </c>
      <c r="CC107" s="34" t="e">
        <f>AND(#REF!,"AAAAAHu/9lA=")</f>
        <v>#REF!</v>
      </c>
      <c r="CD107" s="34" t="e">
        <f>AND(#REF!,"AAAAAHu/9lE=")</f>
        <v>#REF!</v>
      </c>
      <c r="CE107" s="34" t="e">
        <f>AND(#REF!,"AAAAAHu/9lI=")</f>
        <v>#REF!</v>
      </c>
      <c r="CF107" s="34" t="e">
        <f>AND(#REF!,"AAAAAHu/9lM=")</f>
        <v>#REF!</v>
      </c>
      <c r="CG107" s="34" t="e">
        <f>AND(#REF!,"AAAAAHu/9lQ=")</f>
        <v>#REF!</v>
      </c>
      <c r="CH107" s="34" t="e">
        <f>AND(#REF!,"AAAAAHu/9lU=")</f>
        <v>#REF!</v>
      </c>
      <c r="CI107" s="34" t="e">
        <f>AND(#REF!,"AAAAAHu/9lY=")</f>
        <v>#REF!</v>
      </c>
      <c r="CJ107" s="34" t="e">
        <f>IF(#REF!,"AAAAAHu/9lc=",0)</f>
        <v>#REF!</v>
      </c>
      <c r="CK107" s="34" t="e">
        <f>AND(#REF!,"AAAAAHu/9lg=")</f>
        <v>#REF!</v>
      </c>
      <c r="CL107" s="34" t="e">
        <f>AND(#REF!,"AAAAAHu/9lk=")</f>
        <v>#REF!</v>
      </c>
      <c r="CM107" s="34" t="e">
        <f>AND(#REF!,"AAAAAHu/9lo=")</f>
        <v>#REF!</v>
      </c>
      <c r="CN107" s="34" t="e">
        <f>AND(#REF!,"AAAAAHu/9ls=")</f>
        <v>#REF!</v>
      </c>
      <c r="CO107" s="34" t="e">
        <f>AND(#REF!,"AAAAAHu/9lw=")</f>
        <v>#REF!</v>
      </c>
      <c r="CP107" s="34" t="e">
        <f>AND(#REF!,"AAAAAHu/9l0=")</f>
        <v>#REF!</v>
      </c>
      <c r="CQ107" s="34" t="e">
        <f>AND(#REF!,"AAAAAHu/9l4=")</f>
        <v>#REF!</v>
      </c>
      <c r="CR107" s="34" t="e">
        <f>AND(#REF!,"AAAAAHu/9l8=")</f>
        <v>#REF!</v>
      </c>
      <c r="CS107" s="34" t="e">
        <f>AND(#REF!,"AAAAAHu/9mA=")</f>
        <v>#REF!</v>
      </c>
      <c r="CT107" s="34" t="e">
        <f>AND(#REF!,"AAAAAHu/9mE=")</f>
        <v>#REF!</v>
      </c>
      <c r="CU107" s="34" t="e">
        <f>AND(#REF!,"AAAAAHu/9mI=")</f>
        <v>#REF!</v>
      </c>
      <c r="CV107" s="34" t="e">
        <f>AND(#REF!,"AAAAAHu/9mM=")</f>
        <v>#REF!</v>
      </c>
      <c r="CW107" s="34" t="e">
        <f>AND(#REF!,"AAAAAHu/9mQ=")</f>
        <v>#REF!</v>
      </c>
      <c r="CX107" s="34" t="e">
        <f>AND(#REF!,"AAAAAHu/9mU=")</f>
        <v>#REF!</v>
      </c>
      <c r="CY107" s="34" t="e">
        <f>AND(#REF!,"AAAAAHu/9mY=")</f>
        <v>#REF!</v>
      </c>
      <c r="CZ107" s="34" t="e">
        <f>AND(#REF!,"AAAAAHu/9mc=")</f>
        <v>#REF!</v>
      </c>
      <c r="DA107" s="34" t="e">
        <f>IF(#REF!,"AAAAAHu/9mg=",0)</f>
        <v>#REF!</v>
      </c>
      <c r="DB107" s="34" t="e">
        <f>AND(#REF!,"AAAAAHu/9mk=")</f>
        <v>#REF!</v>
      </c>
      <c r="DC107" s="34" t="e">
        <f>AND(#REF!,"AAAAAHu/9mo=")</f>
        <v>#REF!</v>
      </c>
      <c r="DD107" s="34" t="e">
        <f>AND(#REF!,"AAAAAHu/9ms=")</f>
        <v>#REF!</v>
      </c>
      <c r="DE107" s="34" t="e">
        <f>AND(#REF!,"AAAAAHu/9mw=")</f>
        <v>#REF!</v>
      </c>
      <c r="DF107" s="34" t="e">
        <f>AND(#REF!,"AAAAAHu/9m0=")</f>
        <v>#REF!</v>
      </c>
      <c r="DG107" s="34" t="e">
        <f>AND(#REF!,"AAAAAHu/9m4=")</f>
        <v>#REF!</v>
      </c>
      <c r="DH107" s="34" t="e">
        <f>AND(#REF!,"AAAAAHu/9m8=")</f>
        <v>#REF!</v>
      </c>
      <c r="DI107" s="34" t="e">
        <f>AND(#REF!,"AAAAAHu/9nA=")</f>
        <v>#REF!</v>
      </c>
      <c r="DJ107" s="34" t="e">
        <f>AND(#REF!,"AAAAAHu/9nE=")</f>
        <v>#REF!</v>
      </c>
      <c r="DK107" s="34" t="e">
        <f>AND(#REF!,"AAAAAHu/9nI=")</f>
        <v>#REF!</v>
      </c>
      <c r="DL107" s="34" t="e">
        <f>AND(#REF!,"AAAAAHu/9nM=")</f>
        <v>#REF!</v>
      </c>
      <c r="DM107" s="34" t="e">
        <f>AND(#REF!,"AAAAAHu/9nQ=")</f>
        <v>#REF!</v>
      </c>
      <c r="DN107" s="34" t="e">
        <f>AND(#REF!,"AAAAAHu/9nU=")</f>
        <v>#REF!</v>
      </c>
      <c r="DO107" s="34" t="e">
        <f>AND(#REF!,"AAAAAHu/9nY=")</f>
        <v>#REF!</v>
      </c>
      <c r="DP107" s="34" t="e">
        <f>AND(#REF!,"AAAAAHu/9nc=")</f>
        <v>#REF!</v>
      </c>
      <c r="DQ107" s="34" t="e">
        <f>AND(#REF!,"AAAAAHu/9ng=")</f>
        <v>#REF!</v>
      </c>
      <c r="DR107" s="34" t="e">
        <f>IF(#REF!,"AAAAAHu/9nk=",0)</f>
        <v>#REF!</v>
      </c>
      <c r="DS107" s="34" t="e">
        <f>AND(#REF!,"AAAAAHu/9no=")</f>
        <v>#REF!</v>
      </c>
      <c r="DT107" s="34" t="e">
        <f>AND(#REF!,"AAAAAHu/9ns=")</f>
        <v>#REF!</v>
      </c>
      <c r="DU107" s="34" t="e">
        <f>AND(#REF!,"AAAAAHu/9nw=")</f>
        <v>#REF!</v>
      </c>
      <c r="DV107" s="34" t="e">
        <f>AND(#REF!,"AAAAAHu/9n0=")</f>
        <v>#REF!</v>
      </c>
      <c r="DW107" s="34" t="e">
        <f>AND(#REF!,"AAAAAHu/9n4=")</f>
        <v>#REF!</v>
      </c>
      <c r="DX107" s="34" t="e">
        <f>AND(#REF!,"AAAAAHu/9n8=")</f>
        <v>#REF!</v>
      </c>
      <c r="DY107" s="34" t="e">
        <f>AND(#REF!,"AAAAAHu/9oA=")</f>
        <v>#REF!</v>
      </c>
      <c r="DZ107" s="34" t="e">
        <f>AND(#REF!,"AAAAAHu/9oE=")</f>
        <v>#REF!</v>
      </c>
      <c r="EA107" s="34" t="e">
        <f>AND(#REF!,"AAAAAHu/9oI=")</f>
        <v>#REF!</v>
      </c>
      <c r="EB107" s="34" t="e">
        <f>AND(#REF!,"AAAAAHu/9oM=")</f>
        <v>#REF!</v>
      </c>
      <c r="EC107" s="34" t="e">
        <f>AND(#REF!,"AAAAAHu/9oQ=")</f>
        <v>#REF!</v>
      </c>
      <c r="ED107" s="34" t="e">
        <f>AND(#REF!,"AAAAAHu/9oU=")</f>
        <v>#REF!</v>
      </c>
      <c r="EE107" s="34" t="e">
        <f>AND(#REF!,"AAAAAHu/9oY=")</f>
        <v>#REF!</v>
      </c>
      <c r="EF107" s="34" t="e">
        <f>AND(#REF!,"AAAAAHu/9oc=")</f>
        <v>#REF!</v>
      </c>
      <c r="EG107" s="34" t="e">
        <f>AND(#REF!,"AAAAAHu/9og=")</f>
        <v>#REF!</v>
      </c>
      <c r="EH107" s="34" t="e">
        <f>AND(#REF!,"AAAAAHu/9ok=")</f>
        <v>#REF!</v>
      </c>
      <c r="EI107" s="34" t="e">
        <f>IF(#REF!,"AAAAAHu/9oo=",0)</f>
        <v>#REF!</v>
      </c>
      <c r="EJ107" s="34" t="e">
        <f>AND(#REF!,"AAAAAHu/9os=")</f>
        <v>#REF!</v>
      </c>
      <c r="EK107" s="34" t="e">
        <f>AND(#REF!,"AAAAAHu/9ow=")</f>
        <v>#REF!</v>
      </c>
      <c r="EL107" s="34" t="e">
        <f>AND(#REF!,"AAAAAHu/9o0=")</f>
        <v>#REF!</v>
      </c>
      <c r="EM107" s="34" t="e">
        <f>AND(#REF!,"AAAAAHu/9o4=")</f>
        <v>#REF!</v>
      </c>
      <c r="EN107" s="34" t="e">
        <f>AND(#REF!,"AAAAAHu/9o8=")</f>
        <v>#REF!</v>
      </c>
      <c r="EO107" s="34" t="e">
        <f>AND(#REF!,"AAAAAHu/9pA=")</f>
        <v>#REF!</v>
      </c>
      <c r="EP107" s="34" t="e">
        <f>AND(#REF!,"AAAAAHu/9pE=")</f>
        <v>#REF!</v>
      </c>
      <c r="EQ107" s="34" t="e">
        <f>AND(#REF!,"AAAAAHu/9pI=")</f>
        <v>#REF!</v>
      </c>
      <c r="ER107" s="34" t="e">
        <f>AND(#REF!,"AAAAAHu/9pM=")</f>
        <v>#REF!</v>
      </c>
      <c r="ES107" s="34" t="e">
        <f>AND(#REF!,"AAAAAHu/9pQ=")</f>
        <v>#REF!</v>
      </c>
      <c r="ET107" s="34" t="e">
        <f>AND(#REF!,"AAAAAHu/9pU=")</f>
        <v>#REF!</v>
      </c>
      <c r="EU107" s="34" t="e">
        <f>AND(#REF!,"AAAAAHu/9pY=")</f>
        <v>#REF!</v>
      </c>
      <c r="EV107" s="34" t="e">
        <f>AND(#REF!,"AAAAAHu/9pc=")</f>
        <v>#REF!</v>
      </c>
      <c r="EW107" s="34" t="e">
        <f>AND(#REF!,"AAAAAHu/9pg=")</f>
        <v>#REF!</v>
      </c>
      <c r="EX107" s="34" t="e">
        <f>AND(#REF!,"AAAAAHu/9pk=")</f>
        <v>#REF!</v>
      </c>
      <c r="EY107" s="34" t="e">
        <f>AND(#REF!,"AAAAAHu/9po=")</f>
        <v>#REF!</v>
      </c>
      <c r="EZ107" s="34" t="e">
        <f>IF(#REF!,"AAAAAHu/9ps=",0)</f>
        <v>#REF!</v>
      </c>
      <c r="FA107" s="34" t="e">
        <f>AND(#REF!,"AAAAAHu/9pw=")</f>
        <v>#REF!</v>
      </c>
      <c r="FB107" s="34" t="e">
        <f>AND(#REF!,"AAAAAHu/9p0=")</f>
        <v>#REF!</v>
      </c>
      <c r="FC107" s="34" t="e">
        <f>AND(#REF!,"AAAAAHu/9p4=")</f>
        <v>#REF!</v>
      </c>
      <c r="FD107" s="34" t="e">
        <f>AND(#REF!,"AAAAAHu/9p8=")</f>
        <v>#REF!</v>
      </c>
      <c r="FE107" s="34" t="e">
        <f>AND(#REF!,"AAAAAHu/9qA=")</f>
        <v>#REF!</v>
      </c>
      <c r="FF107" s="34" t="e">
        <f>AND(#REF!,"AAAAAHu/9qE=")</f>
        <v>#REF!</v>
      </c>
      <c r="FG107" s="34" t="e">
        <f>AND(#REF!,"AAAAAHu/9qI=")</f>
        <v>#REF!</v>
      </c>
      <c r="FH107" s="34" t="e">
        <f>AND(#REF!,"AAAAAHu/9qM=")</f>
        <v>#REF!</v>
      </c>
      <c r="FI107" s="34" t="e">
        <f>AND(#REF!,"AAAAAHu/9qQ=")</f>
        <v>#REF!</v>
      </c>
      <c r="FJ107" s="34" t="e">
        <f>AND(#REF!,"AAAAAHu/9qU=")</f>
        <v>#REF!</v>
      </c>
      <c r="FK107" s="34" t="e">
        <f>AND(#REF!,"AAAAAHu/9qY=")</f>
        <v>#REF!</v>
      </c>
      <c r="FL107" s="34" t="e">
        <f>AND(#REF!,"AAAAAHu/9qc=")</f>
        <v>#REF!</v>
      </c>
      <c r="FM107" s="34" t="e">
        <f>AND(#REF!,"AAAAAHu/9qg=")</f>
        <v>#REF!</v>
      </c>
      <c r="FN107" s="34" t="e">
        <f>AND(#REF!,"AAAAAHu/9qk=")</f>
        <v>#REF!</v>
      </c>
      <c r="FO107" s="34" t="e">
        <f>AND(#REF!,"AAAAAHu/9qo=")</f>
        <v>#REF!</v>
      </c>
      <c r="FP107" s="34" t="e">
        <f>AND(#REF!,"AAAAAHu/9qs=")</f>
        <v>#REF!</v>
      </c>
      <c r="FQ107" s="34" t="e">
        <f>IF(#REF!,"AAAAAHu/9qw=",0)</f>
        <v>#REF!</v>
      </c>
      <c r="FR107" s="34" t="e">
        <f>AND(#REF!,"AAAAAHu/9q0=")</f>
        <v>#REF!</v>
      </c>
      <c r="FS107" s="34" t="e">
        <f>AND(#REF!,"AAAAAHu/9q4=")</f>
        <v>#REF!</v>
      </c>
      <c r="FT107" s="34" t="e">
        <f>AND(#REF!,"AAAAAHu/9q8=")</f>
        <v>#REF!</v>
      </c>
      <c r="FU107" s="34" t="e">
        <f>AND(#REF!,"AAAAAHu/9rA=")</f>
        <v>#REF!</v>
      </c>
      <c r="FV107" s="34" t="e">
        <f>AND(#REF!,"AAAAAHu/9rE=")</f>
        <v>#REF!</v>
      </c>
      <c r="FW107" s="34" t="e">
        <f>AND(#REF!,"AAAAAHu/9rI=")</f>
        <v>#REF!</v>
      </c>
      <c r="FX107" s="34" t="e">
        <f>AND(#REF!,"AAAAAHu/9rM=")</f>
        <v>#REF!</v>
      </c>
      <c r="FY107" s="34" t="e">
        <f>AND(#REF!,"AAAAAHu/9rQ=")</f>
        <v>#REF!</v>
      </c>
      <c r="FZ107" s="34" t="e">
        <f>AND(#REF!,"AAAAAHu/9rU=")</f>
        <v>#REF!</v>
      </c>
      <c r="GA107" s="34" t="e">
        <f>AND(#REF!,"AAAAAHu/9rY=")</f>
        <v>#REF!</v>
      </c>
      <c r="GB107" s="34" t="e">
        <f>AND(#REF!,"AAAAAHu/9rc=")</f>
        <v>#REF!</v>
      </c>
      <c r="GC107" s="34" t="e">
        <f>AND(#REF!,"AAAAAHu/9rg=")</f>
        <v>#REF!</v>
      </c>
      <c r="GD107" s="34" t="e">
        <f>AND(#REF!,"AAAAAHu/9rk=")</f>
        <v>#REF!</v>
      </c>
      <c r="GE107" s="34" t="e">
        <f>AND(#REF!,"AAAAAHu/9ro=")</f>
        <v>#REF!</v>
      </c>
      <c r="GF107" s="34" t="e">
        <f>AND(#REF!,"AAAAAHu/9rs=")</f>
        <v>#REF!</v>
      </c>
      <c r="GG107" s="34" t="e">
        <f>AND(#REF!,"AAAAAHu/9rw=")</f>
        <v>#REF!</v>
      </c>
      <c r="GH107" s="34" t="e">
        <f>IF(#REF!,"AAAAAHu/9r0=",0)</f>
        <v>#REF!</v>
      </c>
      <c r="GI107" s="34" t="e">
        <f>AND(#REF!,"AAAAAHu/9r4=")</f>
        <v>#REF!</v>
      </c>
      <c r="GJ107" s="34" t="e">
        <f>AND(#REF!,"AAAAAHu/9r8=")</f>
        <v>#REF!</v>
      </c>
      <c r="GK107" s="34" t="e">
        <f>AND(#REF!,"AAAAAHu/9sA=")</f>
        <v>#REF!</v>
      </c>
      <c r="GL107" s="34" t="e">
        <f>AND(#REF!,"AAAAAHu/9sE=")</f>
        <v>#REF!</v>
      </c>
      <c r="GM107" s="34" t="e">
        <f>AND(#REF!,"AAAAAHu/9sI=")</f>
        <v>#REF!</v>
      </c>
      <c r="GN107" s="34" t="e">
        <f>AND(#REF!,"AAAAAHu/9sM=")</f>
        <v>#REF!</v>
      </c>
      <c r="GO107" s="34" t="e">
        <f>AND(#REF!,"AAAAAHu/9sQ=")</f>
        <v>#REF!</v>
      </c>
      <c r="GP107" s="34" t="e">
        <f>AND(#REF!,"AAAAAHu/9sU=")</f>
        <v>#REF!</v>
      </c>
      <c r="GQ107" s="34" t="e">
        <f>AND(#REF!,"AAAAAHu/9sY=")</f>
        <v>#REF!</v>
      </c>
      <c r="GR107" s="34" t="e">
        <f>AND(#REF!,"AAAAAHu/9sc=")</f>
        <v>#REF!</v>
      </c>
      <c r="GS107" s="34" t="e">
        <f>AND(#REF!,"AAAAAHu/9sg=")</f>
        <v>#REF!</v>
      </c>
      <c r="GT107" s="34" t="e">
        <f>AND(#REF!,"AAAAAHu/9sk=")</f>
        <v>#REF!</v>
      </c>
      <c r="GU107" s="34" t="e">
        <f>AND(#REF!,"AAAAAHu/9so=")</f>
        <v>#REF!</v>
      </c>
      <c r="GV107" s="34" t="e">
        <f>AND(#REF!,"AAAAAHu/9ss=")</f>
        <v>#REF!</v>
      </c>
      <c r="GW107" s="34" t="e">
        <f>AND(#REF!,"AAAAAHu/9sw=")</f>
        <v>#REF!</v>
      </c>
      <c r="GX107" s="34" t="e">
        <f>AND(#REF!,"AAAAAHu/9s0=")</f>
        <v>#REF!</v>
      </c>
      <c r="GY107" s="34" t="e">
        <f>IF(#REF!,"AAAAAHu/9s4=",0)</f>
        <v>#REF!</v>
      </c>
      <c r="GZ107" s="34" t="e">
        <f>AND(#REF!,"AAAAAHu/9s8=")</f>
        <v>#REF!</v>
      </c>
      <c r="HA107" s="34" t="e">
        <f>AND(#REF!,"AAAAAHu/9tA=")</f>
        <v>#REF!</v>
      </c>
      <c r="HB107" s="34" t="e">
        <f>AND(#REF!,"AAAAAHu/9tE=")</f>
        <v>#REF!</v>
      </c>
      <c r="HC107" s="34" t="e">
        <f>AND(#REF!,"AAAAAHu/9tI=")</f>
        <v>#REF!</v>
      </c>
      <c r="HD107" s="34" t="e">
        <f>AND(#REF!,"AAAAAHu/9tM=")</f>
        <v>#REF!</v>
      </c>
      <c r="HE107" s="34" t="e">
        <f>AND(#REF!,"AAAAAHu/9tQ=")</f>
        <v>#REF!</v>
      </c>
      <c r="HF107" s="34" t="e">
        <f>AND(#REF!,"AAAAAHu/9tU=")</f>
        <v>#REF!</v>
      </c>
      <c r="HG107" s="34" t="e">
        <f>AND(#REF!,"AAAAAHu/9tY=")</f>
        <v>#REF!</v>
      </c>
      <c r="HH107" s="34" t="e">
        <f>AND(#REF!,"AAAAAHu/9tc=")</f>
        <v>#REF!</v>
      </c>
      <c r="HI107" s="34" t="e">
        <f>AND(#REF!,"AAAAAHu/9tg=")</f>
        <v>#REF!</v>
      </c>
      <c r="HJ107" s="34" t="e">
        <f>AND(#REF!,"AAAAAHu/9tk=")</f>
        <v>#REF!</v>
      </c>
      <c r="HK107" s="34" t="e">
        <f>AND(#REF!,"AAAAAHu/9to=")</f>
        <v>#REF!</v>
      </c>
      <c r="HL107" s="34" t="e">
        <f>AND(#REF!,"AAAAAHu/9ts=")</f>
        <v>#REF!</v>
      </c>
      <c r="HM107" s="34" t="e">
        <f>AND(#REF!,"AAAAAHu/9tw=")</f>
        <v>#REF!</v>
      </c>
      <c r="HN107" s="34" t="e">
        <f>AND(#REF!,"AAAAAHu/9t0=")</f>
        <v>#REF!</v>
      </c>
      <c r="HO107" s="34" t="e">
        <f>AND(#REF!,"AAAAAHu/9t4=")</f>
        <v>#REF!</v>
      </c>
      <c r="HP107" s="34" t="e">
        <f>IF(#REF!,"AAAAAHu/9t8=",0)</f>
        <v>#REF!</v>
      </c>
      <c r="HQ107" s="34" t="e">
        <f>AND(#REF!,"AAAAAHu/9uA=")</f>
        <v>#REF!</v>
      </c>
      <c r="HR107" s="34" t="e">
        <f>AND(#REF!,"AAAAAHu/9uE=")</f>
        <v>#REF!</v>
      </c>
      <c r="HS107" s="34" t="e">
        <f>AND(#REF!,"AAAAAHu/9uI=")</f>
        <v>#REF!</v>
      </c>
      <c r="HT107" s="34" t="e">
        <f>AND(#REF!,"AAAAAHu/9uM=")</f>
        <v>#REF!</v>
      </c>
      <c r="HU107" s="34" t="e">
        <f>AND(#REF!,"AAAAAHu/9uQ=")</f>
        <v>#REF!</v>
      </c>
      <c r="HV107" s="34" t="e">
        <f>AND(#REF!,"AAAAAHu/9uU=")</f>
        <v>#REF!</v>
      </c>
      <c r="HW107" s="34" t="e">
        <f>AND(#REF!,"AAAAAHu/9uY=")</f>
        <v>#REF!</v>
      </c>
      <c r="HX107" s="34" t="e">
        <f>AND(#REF!,"AAAAAHu/9uc=")</f>
        <v>#REF!</v>
      </c>
      <c r="HY107" s="34" t="e">
        <f>AND(#REF!,"AAAAAHu/9ug=")</f>
        <v>#REF!</v>
      </c>
      <c r="HZ107" s="34" t="e">
        <f>AND(#REF!,"AAAAAHu/9uk=")</f>
        <v>#REF!</v>
      </c>
      <c r="IA107" s="34" t="e">
        <f>AND(#REF!,"AAAAAHu/9uo=")</f>
        <v>#REF!</v>
      </c>
      <c r="IB107" s="34" t="e">
        <f>AND(#REF!,"AAAAAHu/9us=")</f>
        <v>#REF!</v>
      </c>
      <c r="IC107" s="34" t="e">
        <f>AND(#REF!,"AAAAAHu/9uw=")</f>
        <v>#REF!</v>
      </c>
      <c r="ID107" s="34" t="e">
        <f>AND(#REF!,"AAAAAHu/9u0=")</f>
        <v>#REF!</v>
      </c>
      <c r="IE107" s="34" t="e">
        <f>AND(#REF!,"AAAAAHu/9u4=")</f>
        <v>#REF!</v>
      </c>
      <c r="IF107" s="34" t="e">
        <f>AND(#REF!,"AAAAAHu/9u8=")</f>
        <v>#REF!</v>
      </c>
      <c r="IG107" s="34" t="e">
        <f>IF(#REF!,"AAAAAHu/9vA=",0)</f>
        <v>#REF!</v>
      </c>
      <c r="IH107" s="34" t="e">
        <f>AND(#REF!,"AAAAAHu/9vE=")</f>
        <v>#REF!</v>
      </c>
      <c r="II107" s="34" t="e">
        <f>AND(#REF!,"AAAAAHu/9vI=")</f>
        <v>#REF!</v>
      </c>
      <c r="IJ107" s="34" t="e">
        <f>AND(#REF!,"AAAAAHu/9vM=")</f>
        <v>#REF!</v>
      </c>
      <c r="IK107" s="34" t="e">
        <f>AND(#REF!,"AAAAAHu/9vQ=")</f>
        <v>#REF!</v>
      </c>
      <c r="IL107" s="34" t="e">
        <f>AND(#REF!,"AAAAAHu/9vU=")</f>
        <v>#REF!</v>
      </c>
      <c r="IM107" s="34" t="e">
        <f>AND(#REF!,"AAAAAHu/9vY=")</f>
        <v>#REF!</v>
      </c>
      <c r="IN107" s="34" t="e">
        <f>AND(#REF!,"AAAAAHu/9vc=")</f>
        <v>#REF!</v>
      </c>
      <c r="IO107" s="34" t="e">
        <f>AND(#REF!,"AAAAAHu/9vg=")</f>
        <v>#REF!</v>
      </c>
      <c r="IP107" s="34" t="e">
        <f>AND(#REF!,"AAAAAHu/9vk=")</f>
        <v>#REF!</v>
      </c>
      <c r="IQ107" s="34" t="e">
        <f>AND(#REF!,"AAAAAHu/9vo=")</f>
        <v>#REF!</v>
      </c>
      <c r="IR107" s="34" t="e">
        <f>AND(#REF!,"AAAAAHu/9vs=")</f>
        <v>#REF!</v>
      </c>
      <c r="IS107" s="34" t="e">
        <f>AND(#REF!,"AAAAAHu/9vw=")</f>
        <v>#REF!</v>
      </c>
      <c r="IT107" s="34" t="e">
        <f>AND(#REF!,"AAAAAHu/9v0=")</f>
        <v>#REF!</v>
      </c>
      <c r="IU107" s="34" t="e">
        <f>AND(#REF!,"AAAAAHu/9v4=")</f>
        <v>#REF!</v>
      </c>
      <c r="IV107" s="34" t="e">
        <f>AND(#REF!,"AAAAAHu/9v8=")</f>
        <v>#REF!</v>
      </c>
    </row>
    <row r="108" spans="1:256" ht="12.75" customHeight="1" x14ac:dyDescent="0.2">
      <c r="A108" s="34" t="e">
        <f>AND(#REF!,"AAAAAD++/wA=")</f>
        <v>#REF!</v>
      </c>
      <c r="B108" s="34" t="e">
        <f>IF(#REF!,"AAAAAD++/wE=",0)</f>
        <v>#REF!</v>
      </c>
      <c r="C108" s="34" t="e">
        <f>AND(#REF!,"AAAAAD++/wI=")</f>
        <v>#REF!</v>
      </c>
      <c r="D108" s="34" t="e">
        <f>AND(#REF!,"AAAAAD++/wM=")</f>
        <v>#REF!</v>
      </c>
      <c r="E108" s="34" t="e">
        <f>AND(#REF!,"AAAAAD++/wQ=")</f>
        <v>#REF!</v>
      </c>
      <c r="F108" s="34" t="e">
        <f>AND(#REF!,"AAAAAD++/wU=")</f>
        <v>#REF!</v>
      </c>
      <c r="G108" s="34" t="e">
        <f>AND(#REF!,"AAAAAD++/wY=")</f>
        <v>#REF!</v>
      </c>
      <c r="H108" s="34" t="e">
        <f>AND(#REF!,"AAAAAD++/wc=")</f>
        <v>#REF!</v>
      </c>
      <c r="I108" s="34" t="e">
        <f>AND(#REF!,"AAAAAD++/wg=")</f>
        <v>#REF!</v>
      </c>
      <c r="J108" s="34" t="e">
        <f>AND(#REF!,"AAAAAD++/wk=")</f>
        <v>#REF!</v>
      </c>
      <c r="K108" s="34" t="e">
        <f>AND(#REF!,"AAAAAD++/wo=")</f>
        <v>#REF!</v>
      </c>
      <c r="L108" s="34" t="e">
        <f>AND(#REF!,"AAAAAD++/ws=")</f>
        <v>#REF!</v>
      </c>
      <c r="M108" s="34" t="e">
        <f>AND(#REF!,"AAAAAD++/ww=")</f>
        <v>#REF!</v>
      </c>
      <c r="N108" s="34" t="e">
        <f>AND(#REF!,"AAAAAD++/w0=")</f>
        <v>#REF!</v>
      </c>
      <c r="O108" s="34" t="e">
        <f>AND(#REF!,"AAAAAD++/w4=")</f>
        <v>#REF!</v>
      </c>
      <c r="P108" s="34" t="e">
        <f>AND(#REF!,"AAAAAD++/w8=")</f>
        <v>#REF!</v>
      </c>
      <c r="Q108" s="34" t="e">
        <f>AND(#REF!,"AAAAAD++/xA=")</f>
        <v>#REF!</v>
      </c>
      <c r="R108" s="34" t="e">
        <f>AND(#REF!,"AAAAAD++/xE=")</f>
        <v>#REF!</v>
      </c>
      <c r="S108" s="34" t="e">
        <f>IF(#REF!,"AAAAAD++/xI=",0)</f>
        <v>#REF!</v>
      </c>
      <c r="T108" s="34" t="e">
        <f>AND(#REF!,"AAAAAD++/xM=")</f>
        <v>#REF!</v>
      </c>
      <c r="U108" s="34" t="e">
        <f>AND(#REF!,"AAAAAD++/xQ=")</f>
        <v>#REF!</v>
      </c>
      <c r="V108" s="34" t="e">
        <f>AND(#REF!,"AAAAAD++/xU=")</f>
        <v>#REF!</v>
      </c>
      <c r="W108" s="34" t="e">
        <f>AND(#REF!,"AAAAAD++/xY=")</f>
        <v>#REF!</v>
      </c>
      <c r="X108" s="34" t="e">
        <f>AND(#REF!,"AAAAAD++/xc=")</f>
        <v>#REF!</v>
      </c>
      <c r="Y108" s="34" t="e">
        <f>AND(#REF!,"AAAAAD++/xg=")</f>
        <v>#REF!</v>
      </c>
      <c r="Z108" s="34" t="e">
        <f>AND(#REF!,"AAAAAD++/xk=")</f>
        <v>#REF!</v>
      </c>
      <c r="AA108" s="34" t="e">
        <f>AND(#REF!,"AAAAAD++/xo=")</f>
        <v>#REF!</v>
      </c>
      <c r="AB108" s="34" t="e">
        <f>AND(#REF!,"AAAAAD++/xs=")</f>
        <v>#REF!</v>
      </c>
      <c r="AC108" s="34" t="e">
        <f>AND(#REF!,"AAAAAD++/xw=")</f>
        <v>#REF!</v>
      </c>
      <c r="AD108" s="34" t="e">
        <f>AND(#REF!,"AAAAAD++/x0=")</f>
        <v>#REF!</v>
      </c>
      <c r="AE108" s="34" t="e">
        <f>AND(#REF!,"AAAAAD++/x4=")</f>
        <v>#REF!</v>
      </c>
      <c r="AF108" s="34" t="e">
        <f>AND(#REF!,"AAAAAD++/x8=")</f>
        <v>#REF!</v>
      </c>
      <c r="AG108" s="34" t="e">
        <f>AND(#REF!,"AAAAAD++/yA=")</f>
        <v>#REF!</v>
      </c>
      <c r="AH108" s="34" t="e">
        <f>AND(#REF!,"AAAAAD++/yE=")</f>
        <v>#REF!</v>
      </c>
      <c r="AI108" s="34" t="e">
        <f>AND(#REF!,"AAAAAD++/yI=")</f>
        <v>#REF!</v>
      </c>
      <c r="AJ108" s="34" t="e">
        <f>IF(#REF!,"AAAAAD++/yM=",0)</f>
        <v>#REF!</v>
      </c>
      <c r="AK108" s="34" t="e">
        <f>AND(#REF!,"AAAAAD++/yQ=")</f>
        <v>#REF!</v>
      </c>
      <c r="AL108" s="34" t="e">
        <f>AND(#REF!,"AAAAAD++/yU=")</f>
        <v>#REF!</v>
      </c>
      <c r="AM108" s="34" t="e">
        <f>AND(#REF!,"AAAAAD++/yY=")</f>
        <v>#REF!</v>
      </c>
      <c r="AN108" s="34" t="e">
        <f>AND(#REF!,"AAAAAD++/yc=")</f>
        <v>#REF!</v>
      </c>
      <c r="AO108" s="34" t="e">
        <f>AND(#REF!,"AAAAAD++/yg=")</f>
        <v>#REF!</v>
      </c>
      <c r="AP108" s="34" t="e">
        <f>AND(#REF!,"AAAAAD++/yk=")</f>
        <v>#REF!</v>
      </c>
      <c r="AQ108" s="34" t="e">
        <f>AND(#REF!,"AAAAAD++/yo=")</f>
        <v>#REF!</v>
      </c>
      <c r="AR108" s="34" t="e">
        <f>AND(#REF!,"AAAAAD++/ys=")</f>
        <v>#REF!</v>
      </c>
      <c r="AS108" s="34" t="e">
        <f>AND(#REF!,"AAAAAD++/yw=")</f>
        <v>#REF!</v>
      </c>
      <c r="AT108" s="34" t="e">
        <f>AND(#REF!,"AAAAAD++/y0=")</f>
        <v>#REF!</v>
      </c>
      <c r="AU108" s="34" t="e">
        <f>AND(#REF!,"AAAAAD++/y4=")</f>
        <v>#REF!</v>
      </c>
      <c r="AV108" s="34" t="e">
        <f>AND(#REF!,"AAAAAD++/y8=")</f>
        <v>#REF!</v>
      </c>
      <c r="AW108" s="34" t="e">
        <f>AND(#REF!,"AAAAAD++/zA=")</f>
        <v>#REF!</v>
      </c>
      <c r="AX108" s="34" t="e">
        <f>AND(#REF!,"AAAAAD++/zE=")</f>
        <v>#REF!</v>
      </c>
      <c r="AY108" s="34" t="e">
        <f>AND(#REF!,"AAAAAD++/zI=")</f>
        <v>#REF!</v>
      </c>
      <c r="AZ108" s="34" t="e">
        <f>AND(#REF!,"AAAAAD++/zM=")</f>
        <v>#REF!</v>
      </c>
      <c r="BA108" s="34" t="e">
        <f>IF(#REF!,"AAAAAD++/zQ=",0)</f>
        <v>#REF!</v>
      </c>
      <c r="BB108" s="34" t="e">
        <f>AND(#REF!,"AAAAAD++/zU=")</f>
        <v>#REF!</v>
      </c>
      <c r="BC108" s="34" t="e">
        <f>AND(#REF!,"AAAAAD++/zY=")</f>
        <v>#REF!</v>
      </c>
      <c r="BD108" s="34" t="e">
        <f>AND(#REF!,"AAAAAD++/zc=")</f>
        <v>#REF!</v>
      </c>
      <c r="BE108" s="34" t="e">
        <f>AND(#REF!,"AAAAAD++/zg=")</f>
        <v>#REF!</v>
      </c>
      <c r="BF108" s="34" t="e">
        <f>AND(#REF!,"AAAAAD++/zk=")</f>
        <v>#REF!</v>
      </c>
      <c r="BG108" s="34" t="e">
        <f>AND(#REF!,"AAAAAD++/zo=")</f>
        <v>#REF!</v>
      </c>
      <c r="BH108" s="34" t="e">
        <f>AND(#REF!,"AAAAAD++/zs=")</f>
        <v>#REF!</v>
      </c>
      <c r="BI108" s="34" t="e">
        <f>AND(#REF!,"AAAAAD++/zw=")</f>
        <v>#REF!</v>
      </c>
      <c r="BJ108" s="34" t="e">
        <f>AND(#REF!,"AAAAAD++/z0=")</f>
        <v>#REF!</v>
      </c>
      <c r="BK108" s="34" t="e">
        <f>AND(#REF!,"AAAAAD++/z4=")</f>
        <v>#REF!</v>
      </c>
      <c r="BL108" s="34" t="e">
        <f>AND(#REF!,"AAAAAD++/z8=")</f>
        <v>#REF!</v>
      </c>
      <c r="BM108" s="34" t="e">
        <f>AND(#REF!,"AAAAAD++/0A=")</f>
        <v>#REF!</v>
      </c>
      <c r="BN108" s="34" t="e">
        <f>AND(#REF!,"AAAAAD++/0E=")</f>
        <v>#REF!</v>
      </c>
      <c r="BO108" s="34" t="e">
        <f>AND(#REF!,"AAAAAD++/0I=")</f>
        <v>#REF!</v>
      </c>
      <c r="BP108" s="34" t="e">
        <f>AND(#REF!,"AAAAAD++/0M=")</f>
        <v>#REF!</v>
      </c>
      <c r="BQ108" s="34" t="e">
        <f>AND(#REF!,"AAAAAD++/0Q=")</f>
        <v>#REF!</v>
      </c>
      <c r="BR108" s="34" t="e">
        <f>IF(#REF!,"AAAAAD++/0U=",0)</f>
        <v>#REF!</v>
      </c>
      <c r="BS108" s="34" t="e">
        <f>AND(#REF!,"AAAAAD++/0Y=")</f>
        <v>#REF!</v>
      </c>
      <c r="BT108" s="34" t="e">
        <f>AND(#REF!,"AAAAAD++/0c=")</f>
        <v>#REF!</v>
      </c>
      <c r="BU108" s="34" t="e">
        <f>AND(#REF!,"AAAAAD++/0g=")</f>
        <v>#REF!</v>
      </c>
      <c r="BV108" s="34" t="e">
        <f>AND(#REF!,"AAAAAD++/0k=")</f>
        <v>#REF!</v>
      </c>
      <c r="BW108" s="34" t="e">
        <f>AND(#REF!,"AAAAAD++/0o=")</f>
        <v>#REF!</v>
      </c>
      <c r="BX108" s="34" t="e">
        <f>AND(#REF!,"AAAAAD++/0s=")</f>
        <v>#REF!</v>
      </c>
      <c r="BY108" s="34" t="e">
        <f>AND(#REF!,"AAAAAD++/0w=")</f>
        <v>#REF!</v>
      </c>
      <c r="BZ108" s="34" t="e">
        <f>AND(#REF!,"AAAAAD++/00=")</f>
        <v>#REF!</v>
      </c>
      <c r="CA108" s="34" t="e">
        <f>AND(#REF!,"AAAAAD++/04=")</f>
        <v>#REF!</v>
      </c>
      <c r="CB108" s="34" t="e">
        <f>AND(#REF!,"AAAAAD++/08=")</f>
        <v>#REF!</v>
      </c>
      <c r="CC108" s="34" t="e">
        <f>AND(#REF!,"AAAAAD++/1A=")</f>
        <v>#REF!</v>
      </c>
      <c r="CD108" s="34" t="e">
        <f>AND(#REF!,"AAAAAD++/1E=")</f>
        <v>#REF!</v>
      </c>
      <c r="CE108" s="34" t="e">
        <f>AND(#REF!,"AAAAAD++/1I=")</f>
        <v>#REF!</v>
      </c>
      <c r="CF108" s="34" t="e">
        <f>AND(#REF!,"AAAAAD++/1M=")</f>
        <v>#REF!</v>
      </c>
      <c r="CG108" s="34" t="e">
        <f>AND(#REF!,"AAAAAD++/1Q=")</f>
        <v>#REF!</v>
      </c>
      <c r="CH108" s="34" t="e">
        <f>AND(#REF!,"AAAAAD++/1U=")</f>
        <v>#REF!</v>
      </c>
      <c r="CI108" s="34" t="e">
        <f>IF(#REF!,"AAAAAD++/1Y=",0)</f>
        <v>#REF!</v>
      </c>
      <c r="CJ108" s="34" t="e">
        <f>AND(#REF!,"AAAAAD++/1c=")</f>
        <v>#REF!</v>
      </c>
      <c r="CK108" s="34" t="e">
        <f>AND(#REF!,"AAAAAD++/1g=")</f>
        <v>#REF!</v>
      </c>
      <c r="CL108" s="34" t="e">
        <f>AND(#REF!,"AAAAAD++/1k=")</f>
        <v>#REF!</v>
      </c>
      <c r="CM108" s="34" t="e">
        <f>AND(#REF!,"AAAAAD++/1o=")</f>
        <v>#REF!</v>
      </c>
      <c r="CN108" s="34" t="e">
        <f>AND(#REF!,"AAAAAD++/1s=")</f>
        <v>#REF!</v>
      </c>
      <c r="CO108" s="34" t="e">
        <f>AND(#REF!,"AAAAAD++/1w=")</f>
        <v>#REF!</v>
      </c>
      <c r="CP108" s="34" t="e">
        <f>AND(#REF!,"AAAAAD++/10=")</f>
        <v>#REF!</v>
      </c>
      <c r="CQ108" s="34" t="e">
        <f>AND(#REF!,"AAAAAD++/14=")</f>
        <v>#REF!</v>
      </c>
      <c r="CR108" s="34" t="e">
        <f>AND(#REF!,"AAAAAD++/18=")</f>
        <v>#REF!</v>
      </c>
      <c r="CS108" s="34" t="e">
        <f>AND(#REF!,"AAAAAD++/2A=")</f>
        <v>#REF!</v>
      </c>
      <c r="CT108" s="34" t="e">
        <f>AND(#REF!,"AAAAAD++/2E=")</f>
        <v>#REF!</v>
      </c>
      <c r="CU108" s="34" t="e">
        <f>AND(#REF!,"AAAAAD++/2I=")</f>
        <v>#REF!</v>
      </c>
      <c r="CV108" s="34" t="e">
        <f>AND(#REF!,"AAAAAD++/2M=")</f>
        <v>#REF!</v>
      </c>
      <c r="CW108" s="34" t="e">
        <f>AND(#REF!,"AAAAAD++/2Q=")</f>
        <v>#REF!</v>
      </c>
      <c r="CX108" s="34" t="e">
        <f>AND(#REF!,"AAAAAD++/2U=")</f>
        <v>#REF!</v>
      </c>
      <c r="CY108" s="34" t="e">
        <f>AND(#REF!,"AAAAAD++/2Y=")</f>
        <v>#REF!</v>
      </c>
      <c r="CZ108" s="34" t="e">
        <f>IF(#REF!,"AAAAAD++/2c=",0)</f>
        <v>#REF!</v>
      </c>
      <c r="DA108" s="34" t="e">
        <f>AND(#REF!,"AAAAAD++/2g=")</f>
        <v>#REF!</v>
      </c>
      <c r="DB108" s="34" t="e">
        <f>AND(#REF!,"AAAAAD++/2k=")</f>
        <v>#REF!</v>
      </c>
      <c r="DC108" s="34" t="e">
        <f>AND(#REF!,"AAAAAD++/2o=")</f>
        <v>#REF!</v>
      </c>
      <c r="DD108" s="34" t="e">
        <f>AND(#REF!,"AAAAAD++/2s=")</f>
        <v>#REF!</v>
      </c>
      <c r="DE108" s="34" t="e">
        <f>AND(#REF!,"AAAAAD++/2w=")</f>
        <v>#REF!</v>
      </c>
      <c r="DF108" s="34" t="e">
        <f>AND(#REF!,"AAAAAD++/20=")</f>
        <v>#REF!</v>
      </c>
      <c r="DG108" s="34" t="e">
        <f>AND(#REF!,"AAAAAD++/24=")</f>
        <v>#REF!</v>
      </c>
      <c r="DH108" s="34" t="e">
        <f>AND(#REF!,"AAAAAD++/28=")</f>
        <v>#REF!</v>
      </c>
      <c r="DI108" s="34" t="e">
        <f>AND(#REF!,"AAAAAD++/3A=")</f>
        <v>#REF!</v>
      </c>
      <c r="DJ108" s="34" t="e">
        <f>AND(#REF!,"AAAAAD++/3E=")</f>
        <v>#REF!</v>
      </c>
      <c r="DK108" s="34" t="e">
        <f>AND(#REF!,"AAAAAD++/3I=")</f>
        <v>#REF!</v>
      </c>
      <c r="DL108" s="34" t="e">
        <f>AND(#REF!,"AAAAAD++/3M=")</f>
        <v>#REF!</v>
      </c>
      <c r="DM108" s="34" t="e">
        <f>AND(#REF!,"AAAAAD++/3Q=")</f>
        <v>#REF!</v>
      </c>
      <c r="DN108" s="34" t="e">
        <f>AND(#REF!,"AAAAAD++/3U=")</f>
        <v>#REF!</v>
      </c>
      <c r="DO108" s="34" t="e">
        <f>AND(#REF!,"AAAAAD++/3Y=")</f>
        <v>#REF!</v>
      </c>
      <c r="DP108" s="34" t="e">
        <f>AND(#REF!,"AAAAAD++/3c=")</f>
        <v>#REF!</v>
      </c>
      <c r="DQ108" s="34" t="e">
        <f>IF(#REF!,"AAAAAD++/3g=",0)</f>
        <v>#REF!</v>
      </c>
      <c r="DR108" s="34" t="e">
        <f>AND(#REF!,"AAAAAD++/3k=")</f>
        <v>#REF!</v>
      </c>
      <c r="DS108" s="34" t="e">
        <f>AND(#REF!,"AAAAAD++/3o=")</f>
        <v>#REF!</v>
      </c>
      <c r="DT108" s="34" t="e">
        <f>AND(#REF!,"AAAAAD++/3s=")</f>
        <v>#REF!</v>
      </c>
      <c r="DU108" s="34" t="e">
        <f>AND(#REF!,"AAAAAD++/3w=")</f>
        <v>#REF!</v>
      </c>
      <c r="DV108" s="34" t="e">
        <f>AND(#REF!,"AAAAAD++/30=")</f>
        <v>#REF!</v>
      </c>
      <c r="DW108" s="34" t="e">
        <f>AND(#REF!,"AAAAAD++/34=")</f>
        <v>#REF!</v>
      </c>
      <c r="DX108" s="34" t="e">
        <f>AND(#REF!,"AAAAAD++/38=")</f>
        <v>#REF!</v>
      </c>
      <c r="DY108" s="34" t="e">
        <f>AND(#REF!,"AAAAAD++/4A=")</f>
        <v>#REF!</v>
      </c>
      <c r="DZ108" s="34" t="e">
        <f>AND(#REF!,"AAAAAD++/4E=")</f>
        <v>#REF!</v>
      </c>
      <c r="EA108" s="34" t="e">
        <f>AND(#REF!,"AAAAAD++/4I=")</f>
        <v>#REF!</v>
      </c>
      <c r="EB108" s="34" t="e">
        <f>AND(#REF!,"AAAAAD++/4M=")</f>
        <v>#REF!</v>
      </c>
      <c r="EC108" s="34" t="e">
        <f>AND(#REF!,"AAAAAD++/4Q=")</f>
        <v>#REF!</v>
      </c>
      <c r="ED108" s="34" t="e">
        <f>AND(#REF!,"AAAAAD++/4U=")</f>
        <v>#REF!</v>
      </c>
      <c r="EE108" s="34" t="e">
        <f>AND(#REF!,"AAAAAD++/4Y=")</f>
        <v>#REF!</v>
      </c>
      <c r="EF108" s="34" t="e">
        <f>AND(#REF!,"AAAAAD++/4c=")</f>
        <v>#REF!</v>
      </c>
      <c r="EG108" s="34" t="e">
        <f>AND(#REF!,"AAAAAD++/4g=")</f>
        <v>#REF!</v>
      </c>
      <c r="EH108" s="34" t="e">
        <f>IF(#REF!,"AAAAAD++/4k=",0)</f>
        <v>#REF!</v>
      </c>
      <c r="EI108" s="34" t="e">
        <f>AND(#REF!,"AAAAAD++/4o=")</f>
        <v>#REF!</v>
      </c>
      <c r="EJ108" s="34" t="e">
        <f>AND(#REF!,"AAAAAD++/4s=")</f>
        <v>#REF!</v>
      </c>
      <c r="EK108" s="34" t="e">
        <f>AND(#REF!,"AAAAAD++/4w=")</f>
        <v>#REF!</v>
      </c>
      <c r="EL108" s="34" t="e">
        <f>AND(#REF!,"AAAAAD++/40=")</f>
        <v>#REF!</v>
      </c>
      <c r="EM108" s="34" t="e">
        <f>AND(#REF!,"AAAAAD++/44=")</f>
        <v>#REF!</v>
      </c>
      <c r="EN108" s="34" t="e">
        <f>AND(#REF!,"AAAAAD++/48=")</f>
        <v>#REF!</v>
      </c>
      <c r="EO108" s="34" t="e">
        <f>AND(#REF!,"AAAAAD++/5A=")</f>
        <v>#REF!</v>
      </c>
      <c r="EP108" s="34" t="e">
        <f>AND(#REF!,"AAAAAD++/5E=")</f>
        <v>#REF!</v>
      </c>
      <c r="EQ108" s="34" t="e">
        <f>AND(#REF!,"AAAAAD++/5I=")</f>
        <v>#REF!</v>
      </c>
      <c r="ER108" s="34" t="e">
        <f>AND(#REF!,"AAAAAD++/5M=")</f>
        <v>#REF!</v>
      </c>
      <c r="ES108" s="34" t="e">
        <f>AND(#REF!,"AAAAAD++/5Q=")</f>
        <v>#REF!</v>
      </c>
      <c r="ET108" s="34" t="e">
        <f>AND(#REF!,"AAAAAD++/5U=")</f>
        <v>#REF!</v>
      </c>
      <c r="EU108" s="34" t="e">
        <f>AND(#REF!,"AAAAAD++/5Y=")</f>
        <v>#REF!</v>
      </c>
      <c r="EV108" s="34" t="e">
        <f>AND(#REF!,"AAAAAD++/5c=")</f>
        <v>#REF!</v>
      </c>
      <c r="EW108" s="34" t="e">
        <f>AND(#REF!,"AAAAAD++/5g=")</f>
        <v>#REF!</v>
      </c>
      <c r="EX108" s="34" t="e">
        <f>AND(#REF!,"AAAAAD++/5k=")</f>
        <v>#REF!</v>
      </c>
      <c r="EY108" s="34" t="e">
        <f>IF(#REF!,"AAAAAD++/5o=",0)</f>
        <v>#REF!</v>
      </c>
      <c r="EZ108" s="34" t="e">
        <f>AND(#REF!,"AAAAAD++/5s=")</f>
        <v>#REF!</v>
      </c>
      <c r="FA108" s="34" t="e">
        <f>AND(#REF!,"AAAAAD++/5w=")</f>
        <v>#REF!</v>
      </c>
      <c r="FB108" s="34" t="e">
        <f>AND(#REF!,"AAAAAD++/50=")</f>
        <v>#REF!</v>
      </c>
      <c r="FC108" s="34" t="e">
        <f>AND(#REF!,"AAAAAD++/54=")</f>
        <v>#REF!</v>
      </c>
      <c r="FD108" s="34" t="e">
        <f>AND(#REF!,"AAAAAD++/58=")</f>
        <v>#REF!</v>
      </c>
      <c r="FE108" s="34" t="e">
        <f>AND(#REF!,"AAAAAD++/6A=")</f>
        <v>#REF!</v>
      </c>
      <c r="FF108" s="34" t="e">
        <f>AND(#REF!,"AAAAAD++/6E=")</f>
        <v>#REF!</v>
      </c>
      <c r="FG108" s="34" t="e">
        <f>AND(#REF!,"AAAAAD++/6I=")</f>
        <v>#REF!</v>
      </c>
      <c r="FH108" s="34" t="e">
        <f>AND(#REF!,"AAAAAD++/6M=")</f>
        <v>#REF!</v>
      </c>
      <c r="FI108" s="34" t="e">
        <f>AND(#REF!,"AAAAAD++/6Q=")</f>
        <v>#REF!</v>
      </c>
      <c r="FJ108" s="34" t="e">
        <f>AND(#REF!,"AAAAAD++/6U=")</f>
        <v>#REF!</v>
      </c>
      <c r="FK108" s="34" t="e">
        <f>AND(#REF!,"AAAAAD++/6Y=")</f>
        <v>#REF!</v>
      </c>
      <c r="FL108" s="34" t="e">
        <f>AND(#REF!,"AAAAAD++/6c=")</f>
        <v>#REF!</v>
      </c>
      <c r="FM108" s="34" t="e">
        <f>AND(#REF!,"AAAAAD++/6g=")</f>
        <v>#REF!</v>
      </c>
      <c r="FN108" s="34" t="e">
        <f>AND(#REF!,"AAAAAD++/6k=")</f>
        <v>#REF!</v>
      </c>
      <c r="FO108" s="34" t="e">
        <f>AND(#REF!,"AAAAAD++/6o=")</f>
        <v>#REF!</v>
      </c>
      <c r="FP108" s="34" t="e">
        <f>IF(#REF!,"AAAAAD++/6s=",0)</f>
        <v>#REF!</v>
      </c>
      <c r="FQ108" s="34" t="e">
        <f>AND(#REF!,"AAAAAD++/6w=")</f>
        <v>#REF!</v>
      </c>
      <c r="FR108" s="34" t="e">
        <f>AND(#REF!,"AAAAAD++/60=")</f>
        <v>#REF!</v>
      </c>
      <c r="FS108" s="34" t="e">
        <f>AND(#REF!,"AAAAAD++/64=")</f>
        <v>#REF!</v>
      </c>
      <c r="FT108" s="34" t="e">
        <f>AND(#REF!,"AAAAAD++/68=")</f>
        <v>#REF!</v>
      </c>
      <c r="FU108" s="34" t="e">
        <f>AND(#REF!,"AAAAAD++/7A=")</f>
        <v>#REF!</v>
      </c>
      <c r="FV108" s="34" t="e">
        <f>AND(#REF!,"AAAAAD++/7E=")</f>
        <v>#REF!</v>
      </c>
      <c r="FW108" s="34" t="e">
        <f>AND(#REF!,"AAAAAD++/7I=")</f>
        <v>#REF!</v>
      </c>
      <c r="FX108" s="34" t="e">
        <f>AND(#REF!,"AAAAAD++/7M=")</f>
        <v>#REF!</v>
      </c>
      <c r="FY108" s="34" t="e">
        <f>AND(#REF!,"AAAAAD++/7Q=")</f>
        <v>#REF!</v>
      </c>
      <c r="FZ108" s="34" t="e">
        <f>AND(#REF!,"AAAAAD++/7U=")</f>
        <v>#REF!</v>
      </c>
      <c r="GA108" s="34" t="e">
        <f>AND(#REF!,"AAAAAD++/7Y=")</f>
        <v>#REF!</v>
      </c>
      <c r="GB108" s="34" t="e">
        <f>AND(#REF!,"AAAAAD++/7c=")</f>
        <v>#REF!</v>
      </c>
      <c r="GC108" s="34" t="e">
        <f>AND(#REF!,"AAAAAD++/7g=")</f>
        <v>#REF!</v>
      </c>
      <c r="GD108" s="34" t="e">
        <f>AND(#REF!,"AAAAAD++/7k=")</f>
        <v>#REF!</v>
      </c>
      <c r="GE108" s="34" t="e">
        <f>AND(#REF!,"AAAAAD++/7o=")</f>
        <v>#REF!</v>
      </c>
      <c r="GF108" s="34" t="e">
        <f>AND(#REF!,"AAAAAD++/7s=")</f>
        <v>#REF!</v>
      </c>
      <c r="GG108" s="34" t="e">
        <f>IF(#REF!,"AAAAAD++/7w=",0)</f>
        <v>#REF!</v>
      </c>
      <c r="GH108" s="34" t="e">
        <f>AND(#REF!,"AAAAAD++/70=")</f>
        <v>#REF!</v>
      </c>
      <c r="GI108" s="34" t="e">
        <f>AND(#REF!,"AAAAAD++/74=")</f>
        <v>#REF!</v>
      </c>
      <c r="GJ108" s="34" t="e">
        <f>AND(#REF!,"AAAAAD++/78=")</f>
        <v>#REF!</v>
      </c>
      <c r="GK108" s="34" t="e">
        <f>AND(#REF!,"AAAAAD++/8A=")</f>
        <v>#REF!</v>
      </c>
      <c r="GL108" s="34" t="e">
        <f>AND(#REF!,"AAAAAD++/8E=")</f>
        <v>#REF!</v>
      </c>
      <c r="GM108" s="34" t="e">
        <f>AND(#REF!,"AAAAAD++/8I=")</f>
        <v>#REF!</v>
      </c>
      <c r="GN108" s="34" t="e">
        <f>AND(#REF!,"AAAAAD++/8M=")</f>
        <v>#REF!</v>
      </c>
      <c r="GO108" s="34" t="e">
        <f>AND(#REF!,"AAAAAD++/8Q=")</f>
        <v>#REF!</v>
      </c>
      <c r="GP108" s="34" t="e">
        <f>AND(#REF!,"AAAAAD++/8U=")</f>
        <v>#REF!</v>
      </c>
      <c r="GQ108" s="34" t="e">
        <f>AND(#REF!,"AAAAAD++/8Y=")</f>
        <v>#REF!</v>
      </c>
      <c r="GR108" s="34" t="e">
        <f>AND(#REF!,"AAAAAD++/8c=")</f>
        <v>#REF!</v>
      </c>
      <c r="GS108" s="34" t="e">
        <f>AND(#REF!,"AAAAAD++/8g=")</f>
        <v>#REF!</v>
      </c>
      <c r="GT108" s="34" t="e">
        <f>AND(#REF!,"AAAAAD++/8k=")</f>
        <v>#REF!</v>
      </c>
      <c r="GU108" s="34" t="e">
        <f>AND(#REF!,"AAAAAD++/8o=")</f>
        <v>#REF!</v>
      </c>
      <c r="GV108" s="34" t="e">
        <f>AND(#REF!,"AAAAAD++/8s=")</f>
        <v>#REF!</v>
      </c>
      <c r="GW108" s="34" t="e">
        <f>AND(#REF!,"AAAAAD++/8w=")</f>
        <v>#REF!</v>
      </c>
      <c r="GX108" s="34" t="e">
        <f>IF(#REF!,"AAAAAD++/80=",0)</f>
        <v>#REF!</v>
      </c>
      <c r="GY108" s="34" t="e">
        <f>AND(#REF!,"AAAAAD++/84=")</f>
        <v>#REF!</v>
      </c>
      <c r="GZ108" s="34" t="e">
        <f>AND(#REF!,"AAAAAD++/88=")</f>
        <v>#REF!</v>
      </c>
      <c r="HA108" s="34" t="e">
        <f>AND(#REF!,"AAAAAD++/9A=")</f>
        <v>#REF!</v>
      </c>
      <c r="HB108" s="34" t="e">
        <f>AND(#REF!,"AAAAAD++/9E=")</f>
        <v>#REF!</v>
      </c>
      <c r="HC108" s="34" t="e">
        <f>AND(#REF!,"AAAAAD++/9I=")</f>
        <v>#REF!</v>
      </c>
      <c r="HD108" s="34" t="e">
        <f>AND(#REF!,"AAAAAD++/9M=")</f>
        <v>#REF!</v>
      </c>
      <c r="HE108" s="34" t="e">
        <f>AND(#REF!,"AAAAAD++/9Q=")</f>
        <v>#REF!</v>
      </c>
      <c r="HF108" s="34" t="e">
        <f>AND(#REF!,"AAAAAD++/9U=")</f>
        <v>#REF!</v>
      </c>
      <c r="HG108" s="34" t="e">
        <f>AND(#REF!,"AAAAAD++/9Y=")</f>
        <v>#REF!</v>
      </c>
      <c r="HH108" s="34" t="e">
        <f>AND(#REF!,"AAAAAD++/9c=")</f>
        <v>#REF!</v>
      </c>
      <c r="HI108" s="34" t="e">
        <f>AND(#REF!,"AAAAAD++/9g=")</f>
        <v>#REF!</v>
      </c>
      <c r="HJ108" s="34" t="e">
        <f>AND(#REF!,"AAAAAD++/9k=")</f>
        <v>#REF!</v>
      </c>
      <c r="HK108" s="34" t="e">
        <f>AND(#REF!,"AAAAAD++/9o=")</f>
        <v>#REF!</v>
      </c>
      <c r="HL108" s="34" t="e">
        <f>AND(#REF!,"AAAAAD++/9s=")</f>
        <v>#REF!</v>
      </c>
      <c r="HM108" s="34" t="e">
        <f>AND(#REF!,"AAAAAD++/9w=")</f>
        <v>#REF!</v>
      </c>
      <c r="HN108" s="34" t="e">
        <f>AND(#REF!,"AAAAAD++/90=")</f>
        <v>#REF!</v>
      </c>
      <c r="HO108" s="34" t="e">
        <f>IF(#REF!,"AAAAAD++/94=",0)</f>
        <v>#REF!</v>
      </c>
      <c r="HP108" s="34" t="e">
        <f>AND(#REF!,"AAAAAD++/98=")</f>
        <v>#REF!</v>
      </c>
      <c r="HQ108" s="34" t="e">
        <f>AND(#REF!,"AAAAAD++/+A=")</f>
        <v>#REF!</v>
      </c>
      <c r="HR108" s="34" t="e">
        <f>AND(#REF!,"AAAAAD++/+E=")</f>
        <v>#REF!</v>
      </c>
      <c r="HS108" s="34" t="e">
        <f>AND(#REF!,"AAAAAD++/+I=")</f>
        <v>#REF!</v>
      </c>
      <c r="HT108" s="34" t="e">
        <f>AND(#REF!,"AAAAAD++/+M=")</f>
        <v>#REF!</v>
      </c>
      <c r="HU108" s="34" t="e">
        <f>AND(#REF!,"AAAAAD++/+Q=")</f>
        <v>#REF!</v>
      </c>
      <c r="HV108" s="34" t="e">
        <f>AND(#REF!,"AAAAAD++/+U=")</f>
        <v>#REF!</v>
      </c>
      <c r="HW108" s="34" t="e">
        <f>AND(#REF!,"AAAAAD++/+Y=")</f>
        <v>#REF!</v>
      </c>
      <c r="HX108" s="34" t="e">
        <f>AND(#REF!,"AAAAAD++/+c=")</f>
        <v>#REF!</v>
      </c>
      <c r="HY108" s="34" t="e">
        <f>AND(#REF!,"AAAAAD++/+g=")</f>
        <v>#REF!</v>
      </c>
      <c r="HZ108" s="34" t="e">
        <f>AND(#REF!,"AAAAAD++/+k=")</f>
        <v>#REF!</v>
      </c>
      <c r="IA108" s="34" t="e">
        <f>AND(#REF!,"AAAAAD++/+o=")</f>
        <v>#REF!</v>
      </c>
      <c r="IB108" s="34" t="e">
        <f>AND(#REF!,"AAAAAD++/+s=")</f>
        <v>#REF!</v>
      </c>
      <c r="IC108" s="34" t="e">
        <f>AND(#REF!,"AAAAAD++/+w=")</f>
        <v>#REF!</v>
      </c>
      <c r="ID108" s="34" t="e">
        <f>AND(#REF!,"AAAAAD++/+0=")</f>
        <v>#REF!</v>
      </c>
      <c r="IE108" s="34" t="e">
        <f>AND(#REF!,"AAAAAD++/+4=")</f>
        <v>#REF!</v>
      </c>
      <c r="IF108" s="34" t="e">
        <f>IF(#REF!,"AAAAAD++/+8=",0)</f>
        <v>#REF!</v>
      </c>
      <c r="IG108" s="34" t="e">
        <f>AND(#REF!,"AAAAAD++//A=")</f>
        <v>#REF!</v>
      </c>
      <c r="IH108" s="34" t="e">
        <f>AND(#REF!,"AAAAAD++//E=")</f>
        <v>#REF!</v>
      </c>
      <c r="II108" s="34" t="e">
        <f>AND(#REF!,"AAAAAD++//I=")</f>
        <v>#REF!</v>
      </c>
      <c r="IJ108" s="34" t="e">
        <f>AND(#REF!,"AAAAAD++//M=")</f>
        <v>#REF!</v>
      </c>
      <c r="IK108" s="34" t="e">
        <f>AND(#REF!,"AAAAAD++//Q=")</f>
        <v>#REF!</v>
      </c>
      <c r="IL108" s="34" t="e">
        <f>AND(#REF!,"AAAAAD++//U=")</f>
        <v>#REF!</v>
      </c>
      <c r="IM108" s="34" t="e">
        <f>AND(#REF!,"AAAAAD++//Y=")</f>
        <v>#REF!</v>
      </c>
      <c r="IN108" s="34" t="e">
        <f>AND(#REF!,"AAAAAD++//c=")</f>
        <v>#REF!</v>
      </c>
      <c r="IO108" s="34" t="e">
        <f>AND(#REF!,"AAAAAD++//g=")</f>
        <v>#REF!</v>
      </c>
      <c r="IP108" s="34" t="e">
        <f>AND(#REF!,"AAAAAD++//k=")</f>
        <v>#REF!</v>
      </c>
      <c r="IQ108" s="34" t="e">
        <f>AND(#REF!,"AAAAAD++//o=")</f>
        <v>#REF!</v>
      </c>
      <c r="IR108" s="34" t="e">
        <f>AND(#REF!,"AAAAAD++//s=")</f>
        <v>#REF!</v>
      </c>
      <c r="IS108" s="34" t="e">
        <f>AND(#REF!,"AAAAAD++//w=")</f>
        <v>#REF!</v>
      </c>
      <c r="IT108" s="34" t="e">
        <f>AND(#REF!,"AAAAAD++//0=")</f>
        <v>#REF!</v>
      </c>
      <c r="IU108" s="34" t="e">
        <f>AND(#REF!,"AAAAAD++//4=")</f>
        <v>#REF!</v>
      </c>
      <c r="IV108" s="34" t="e">
        <f>AND(#REF!,"AAAAAD++//8=")</f>
        <v>#REF!</v>
      </c>
    </row>
    <row r="109" spans="1:256" ht="12.75" customHeight="1" x14ac:dyDescent="0.2">
      <c r="A109" s="34" t="e">
        <f>IF(#REF!,"AAAAAH16/gA=",0)</f>
        <v>#REF!</v>
      </c>
      <c r="B109" s="34" t="e">
        <f>AND(#REF!,"AAAAAH16/gE=")</f>
        <v>#REF!</v>
      </c>
      <c r="C109" s="34" t="e">
        <f>AND(#REF!,"AAAAAH16/gI=")</f>
        <v>#REF!</v>
      </c>
      <c r="D109" s="34" t="e">
        <f>AND(#REF!,"AAAAAH16/gM=")</f>
        <v>#REF!</v>
      </c>
      <c r="E109" s="34" t="e">
        <f>AND(#REF!,"AAAAAH16/gQ=")</f>
        <v>#REF!</v>
      </c>
      <c r="F109" s="34" t="e">
        <f>AND(#REF!,"AAAAAH16/gU=")</f>
        <v>#REF!</v>
      </c>
      <c r="G109" s="34" t="e">
        <f>AND(#REF!,"AAAAAH16/gY=")</f>
        <v>#REF!</v>
      </c>
      <c r="H109" s="34" t="e">
        <f>AND(#REF!,"AAAAAH16/gc=")</f>
        <v>#REF!</v>
      </c>
      <c r="I109" s="34" t="e">
        <f>AND(#REF!,"AAAAAH16/gg=")</f>
        <v>#REF!</v>
      </c>
      <c r="J109" s="34" t="e">
        <f>AND(#REF!,"AAAAAH16/gk=")</f>
        <v>#REF!</v>
      </c>
      <c r="K109" s="34" t="e">
        <f>AND(#REF!,"AAAAAH16/go=")</f>
        <v>#REF!</v>
      </c>
      <c r="L109" s="34" t="e">
        <f>AND(#REF!,"AAAAAH16/gs=")</f>
        <v>#REF!</v>
      </c>
      <c r="M109" s="34" t="e">
        <f>AND(#REF!,"AAAAAH16/gw=")</f>
        <v>#REF!</v>
      </c>
      <c r="N109" s="34" t="e">
        <f>AND(#REF!,"AAAAAH16/g0=")</f>
        <v>#REF!</v>
      </c>
      <c r="O109" s="34" t="e">
        <f>AND(#REF!,"AAAAAH16/g4=")</f>
        <v>#REF!</v>
      </c>
      <c r="P109" s="34" t="e">
        <f>AND(#REF!,"AAAAAH16/g8=")</f>
        <v>#REF!</v>
      </c>
      <c r="Q109" s="34" t="e">
        <f>AND(#REF!,"AAAAAH16/hA=")</f>
        <v>#REF!</v>
      </c>
      <c r="R109" s="34" t="e">
        <f>IF(#REF!,"AAAAAH16/hE=",0)</f>
        <v>#REF!</v>
      </c>
      <c r="S109" s="34" t="e">
        <f>AND(#REF!,"AAAAAH16/hI=")</f>
        <v>#REF!</v>
      </c>
      <c r="T109" s="34" t="e">
        <f>AND(#REF!,"AAAAAH16/hM=")</f>
        <v>#REF!</v>
      </c>
      <c r="U109" s="34" t="e">
        <f>AND(#REF!,"AAAAAH16/hQ=")</f>
        <v>#REF!</v>
      </c>
      <c r="V109" s="34" t="e">
        <f>AND(#REF!,"AAAAAH16/hU=")</f>
        <v>#REF!</v>
      </c>
      <c r="W109" s="34" t="e">
        <f>AND(#REF!,"AAAAAH16/hY=")</f>
        <v>#REF!</v>
      </c>
      <c r="X109" s="34" t="e">
        <f>AND(#REF!,"AAAAAH16/hc=")</f>
        <v>#REF!</v>
      </c>
      <c r="Y109" s="34" t="e">
        <f>AND(#REF!,"AAAAAH16/hg=")</f>
        <v>#REF!</v>
      </c>
      <c r="Z109" s="34" t="e">
        <f>AND(#REF!,"AAAAAH16/hk=")</f>
        <v>#REF!</v>
      </c>
      <c r="AA109" s="34" t="e">
        <f>AND(#REF!,"AAAAAH16/ho=")</f>
        <v>#REF!</v>
      </c>
      <c r="AB109" s="34" t="e">
        <f>AND(#REF!,"AAAAAH16/hs=")</f>
        <v>#REF!</v>
      </c>
      <c r="AC109" s="34" t="e">
        <f>AND(#REF!,"AAAAAH16/hw=")</f>
        <v>#REF!</v>
      </c>
      <c r="AD109" s="34" t="e">
        <f>AND(#REF!,"AAAAAH16/h0=")</f>
        <v>#REF!</v>
      </c>
      <c r="AE109" s="34" t="e">
        <f>AND(#REF!,"AAAAAH16/h4=")</f>
        <v>#REF!</v>
      </c>
      <c r="AF109" s="34" t="e">
        <f>AND(#REF!,"AAAAAH16/h8=")</f>
        <v>#REF!</v>
      </c>
      <c r="AG109" s="34" t="e">
        <f>AND(#REF!,"AAAAAH16/iA=")</f>
        <v>#REF!</v>
      </c>
      <c r="AH109" s="34" t="e">
        <f>AND(#REF!,"AAAAAH16/iE=")</f>
        <v>#REF!</v>
      </c>
      <c r="AI109" s="34" t="e">
        <f>IF(#REF!,"AAAAAH16/iI=",0)</f>
        <v>#REF!</v>
      </c>
      <c r="AJ109" s="34" t="e">
        <f>AND(#REF!,"AAAAAH16/iM=")</f>
        <v>#REF!</v>
      </c>
      <c r="AK109" s="34" t="e">
        <f>AND(#REF!,"AAAAAH16/iQ=")</f>
        <v>#REF!</v>
      </c>
      <c r="AL109" s="34" t="e">
        <f>AND(#REF!,"AAAAAH16/iU=")</f>
        <v>#REF!</v>
      </c>
      <c r="AM109" s="34" t="e">
        <f>AND(#REF!,"AAAAAH16/iY=")</f>
        <v>#REF!</v>
      </c>
      <c r="AN109" s="34" t="e">
        <f>AND(#REF!,"AAAAAH16/ic=")</f>
        <v>#REF!</v>
      </c>
      <c r="AO109" s="34" t="e">
        <f>AND(#REF!,"AAAAAH16/ig=")</f>
        <v>#REF!</v>
      </c>
      <c r="AP109" s="34" t="e">
        <f>AND(#REF!,"AAAAAH16/ik=")</f>
        <v>#REF!</v>
      </c>
      <c r="AQ109" s="34" t="e">
        <f>AND(#REF!,"AAAAAH16/io=")</f>
        <v>#REF!</v>
      </c>
      <c r="AR109" s="34" t="e">
        <f>AND(#REF!,"AAAAAH16/is=")</f>
        <v>#REF!</v>
      </c>
      <c r="AS109" s="34" t="e">
        <f>AND(#REF!,"AAAAAH16/iw=")</f>
        <v>#REF!</v>
      </c>
      <c r="AT109" s="34" t="e">
        <f>AND(#REF!,"AAAAAH16/i0=")</f>
        <v>#REF!</v>
      </c>
      <c r="AU109" s="34" t="e">
        <f>AND(#REF!,"AAAAAH16/i4=")</f>
        <v>#REF!</v>
      </c>
      <c r="AV109" s="34" t="e">
        <f>AND(#REF!,"AAAAAH16/i8=")</f>
        <v>#REF!</v>
      </c>
      <c r="AW109" s="34" t="e">
        <f>AND(#REF!,"AAAAAH16/jA=")</f>
        <v>#REF!</v>
      </c>
      <c r="AX109" s="34" t="e">
        <f>AND(#REF!,"AAAAAH16/jE=")</f>
        <v>#REF!</v>
      </c>
      <c r="AY109" s="34" t="e">
        <f>AND(#REF!,"AAAAAH16/jI=")</f>
        <v>#REF!</v>
      </c>
      <c r="AZ109" s="34" t="e">
        <f>IF(#REF!,"AAAAAH16/jM=",0)</f>
        <v>#REF!</v>
      </c>
      <c r="BA109" s="34" t="e">
        <f>AND(#REF!,"AAAAAH16/jQ=")</f>
        <v>#REF!</v>
      </c>
      <c r="BB109" s="34" t="e">
        <f>AND(#REF!,"AAAAAH16/jU=")</f>
        <v>#REF!</v>
      </c>
      <c r="BC109" s="34" t="e">
        <f>AND(#REF!,"AAAAAH16/jY=")</f>
        <v>#REF!</v>
      </c>
      <c r="BD109" s="34" t="e">
        <f>AND(#REF!,"AAAAAH16/jc=")</f>
        <v>#REF!</v>
      </c>
      <c r="BE109" s="34" t="e">
        <f>AND(#REF!,"AAAAAH16/jg=")</f>
        <v>#REF!</v>
      </c>
      <c r="BF109" s="34" t="e">
        <f>AND(#REF!,"AAAAAH16/jk=")</f>
        <v>#REF!</v>
      </c>
      <c r="BG109" s="34" t="e">
        <f>AND(#REF!,"AAAAAH16/jo=")</f>
        <v>#REF!</v>
      </c>
      <c r="BH109" s="34" t="e">
        <f>AND(#REF!,"AAAAAH16/js=")</f>
        <v>#REF!</v>
      </c>
      <c r="BI109" s="34" t="e">
        <f>AND(#REF!,"AAAAAH16/jw=")</f>
        <v>#REF!</v>
      </c>
      <c r="BJ109" s="34" t="e">
        <f>AND(#REF!,"AAAAAH16/j0=")</f>
        <v>#REF!</v>
      </c>
      <c r="BK109" s="34" t="e">
        <f>AND(#REF!,"AAAAAH16/j4=")</f>
        <v>#REF!</v>
      </c>
      <c r="BL109" s="34" t="e">
        <f>AND(#REF!,"AAAAAH16/j8=")</f>
        <v>#REF!</v>
      </c>
      <c r="BM109" s="34" t="e">
        <f>AND(#REF!,"AAAAAH16/kA=")</f>
        <v>#REF!</v>
      </c>
      <c r="BN109" s="34" t="e">
        <f>AND(#REF!,"AAAAAH16/kE=")</f>
        <v>#REF!</v>
      </c>
      <c r="BO109" s="34" t="e">
        <f>AND(#REF!,"AAAAAH16/kI=")</f>
        <v>#REF!</v>
      </c>
      <c r="BP109" s="34" t="e">
        <f>AND(#REF!,"AAAAAH16/kM=")</f>
        <v>#REF!</v>
      </c>
      <c r="BQ109" s="34" t="e">
        <f>IF(#REF!,"AAAAAH16/kQ=",0)</f>
        <v>#REF!</v>
      </c>
      <c r="BR109" s="34" t="e">
        <f>AND(#REF!,"AAAAAH16/kU=")</f>
        <v>#REF!</v>
      </c>
      <c r="BS109" s="34" t="e">
        <f>AND(#REF!,"AAAAAH16/kY=")</f>
        <v>#REF!</v>
      </c>
      <c r="BT109" s="34" t="e">
        <f>AND(#REF!,"AAAAAH16/kc=")</f>
        <v>#REF!</v>
      </c>
      <c r="BU109" s="34" t="e">
        <f>AND(#REF!,"AAAAAH16/kg=")</f>
        <v>#REF!</v>
      </c>
      <c r="BV109" s="34" t="e">
        <f>AND(#REF!,"AAAAAH16/kk=")</f>
        <v>#REF!</v>
      </c>
      <c r="BW109" s="34" t="e">
        <f>AND(#REF!,"AAAAAH16/ko=")</f>
        <v>#REF!</v>
      </c>
      <c r="BX109" s="34" t="e">
        <f>AND(#REF!,"AAAAAH16/ks=")</f>
        <v>#REF!</v>
      </c>
      <c r="BY109" s="34" t="e">
        <f>AND(#REF!,"AAAAAH16/kw=")</f>
        <v>#REF!</v>
      </c>
      <c r="BZ109" s="34" t="e">
        <f>AND(#REF!,"AAAAAH16/k0=")</f>
        <v>#REF!</v>
      </c>
      <c r="CA109" s="34" t="e">
        <f>AND(#REF!,"AAAAAH16/k4=")</f>
        <v>#REF!</v>
      </c>
      <c r="CB109" s="34" t="e">
        <f>AND(#REF!,"AAAAAH16/k8=")</f>
        <v>#REF!</v>
      </c>
      <c r="CC109" s="34" t="e">
        <f>AND(#REF!,"AAAAAH16/lA=")</f>
        <v>#REF!</v>
      </c>
      <c r="CD109" s="34" t="e">
        <f>AND(#REF!,"AAAAAH16/lE=")</f>
        <v>#REF!</v>
      </c>
      <c r="CE109" s="34" t="e">
        <f>AND(#REF!,"AAAAAH16/lI=")</f>
        <v>#REF!</v>
      </c>
      <c r="CF109" s="34" t="e">
        <f>AND(#REF!,"AAAAAH16/lM=")</f>
        <v>#REF!</v>
      </c>
      <c r="CG109" s="34" t="e">
        <f>AND(#REF!,"AAAAAH16/lQ=")</f>
        <v>#REF!</v>
      </c>
      <c r="CH109" s="34" t="e">
        <f>IF(#REF!,"AAAAAH16/lU=",0)</f>
        <v>#REF!</v>
      </c>
      <c r="CI109" s="34" t="e">
        <f>AND(#REF!,"AAAAAH16/lY=")</f>
        <v>#REF!</v>
      </c>
      <c r="CJ109" s="34" t="e">
        <f>AND(#REF!,"AAAAAH16/lc=")</f>
        <v>#REF!</v>
      </c>
      <c r="CK109" s="34" t="e">
        <f>AND(#REF!,"AAAAAH16/lg=")</f>
        <v>#REF!</v>
      </c>
      <c r="CL109" s="34" t="e">
        <f>AND(#REF!,"AAAAAH16/lk=")</f>
        <v>#REF!</v>
      </c>
      <c r="CM109" s="34" t="e">
        <f>AND(#REF!,"AAAAAH16/lo=")</f>
        <v>#REF!</v>
      </c>
      <c r="CN109" s="34" t="e">
        <f>AND(#REF!,"AAAAAH16/ls=")</f>
        <v>#REF!</v>
      </c>
      <c r="CO109" s="34" t="e">
        <f>AND(#REF!,"AAAAAH16/lw=")</f>
        <v>#REF!</v>
      </c>
      <c r="CP109" s="34" t="e">
        <f>AND(#REF!,"AAAAAH16/l0=")</f>
        <v>#REF!</v>
      </c>
      <c r="CQ109" s="34" t="e">
        <f>AND(#REF!,"AAAAAH16/l4=")</f>
        <v>#REF!</v>
      </c>
      <c r="CR109" s="34" t="e">
        <f>AND(#REF!,"AAAAAH16/l8=")</f>
        <v>#REF!</v>
      </c>
      <c r="CS109" s="34" t="e">
        <f>AND(#REF!,"AAAAAH16/mA=")</f>
        <v>#REF!</v>
      </c>
      <c r="CT109" s="34" t="e">
        <f>AND(#REF!,"AAAAAH16/mE=")</f>
        <v>#REF!</v>
      </c>
      <c r="CU109" s="34" t="e">
        <f>AND(#REF!,"AAAAAH16/mI=")</f>
        <v>#REF!</v>
      </c>
      <c r="CV109" s="34" t="e">
        <f>AND(#REF!,"AAAAAH16/mM=")</f>
        <v>#REF!</v>
      </c>
      <c r="CW109" s="34" t="e">
        <f>AND(#REF!,"AAAAAH16/mQ=")</f>
        <v>#REF!</v>
      </c>
      <c r="CX109" s="34" t="e">
        <f>AND(#REF!,"AAAAAH16/mU=")</f>
        <v>#REF!</v>
      </c>
      <c r="CY109" s="34" t="e">
        <f>IF(#REF!,"AAAAAH16/mY=",0)</f>
        <v>#REF!</v>
      </c>
      <c r="CZ109" s="34" t="e">
        <f>AND(#REF!,"AAAAAH16/mc=")</f>
        <v>#REF!</v>
      </c>
      <c r="DA109" s="34" t="e">
        <f>AND(#REF!,"AAAAAH16/mg=")</f>
        <v>#REF!</v>
      </c>
      <c r="DB109" s="34" t="e">
        <f>AND(#REF!,"AAAAAH16/mk=")</f>
        <v>#REF!</v>
      </c>
      <c r="DC109" s="34" t="e">
        <f>AND(#REF!,"AAAAAH16/mo=")</f>
        <v>#REF!</v>
      </c>
      <c r="DD109" s="34" t="e">
        <f>AND(#REF!,"AAAAAH16/ms=")</f>
        <v>#REF!</v>
      </c>
      <c r="DE109" s="34" t="e">
        <f>AND(#REF!,"AAAAAH16/mw=")</f>
        <v>#REF!</v>
      </c>
      <c r="DF109" s="34" t="e">
        <f>AND(#REF!,"AAAAAH16/m0=")</f>
        <v>#REF!</v>
      </c>
      <c r="DG109" s="34" t="e">
        <f>AND(#REF!,"AAAAAH16/m4=")</f>
        <v>#REF!</v>
      </c>
      <c r="DH109" s="34" t="e">
        <f>AND(#REF!,"AAAAAH16/m8=")</f>
        <v>#REF!</v>
      </c>
      <c r="DI109" s="34" t="e">
        <f>AND(#REF!,"AAAAAH16/nA=")</f>
        <v>#REF!</v>
      </c>
      <c r="DJ109" s="34" t="e">
        <f>AND(#REF!,"AAAAAH16/nE=")</f>
        <v>#REF!</v>
      </c>
      <c r="DK109" s="34" t="e">
        <f>AND(#REF!,"AAAAAH16/nI=")</f>
        <v>#REF!</v>
      </c>
      <c r="DL109" s="34" t="e">
        <f>AND(#REF!,"AAAAAH16/nM=")</f>
        <v>#REF!</v>
      </c>
      <c r="DM109" s="34" t="e">
        <f>AND(#REF!,"AAAAAH16/nQ=")</f>
        <v>#REF!</v>
      </c>
      <c r="DN109" s="34" t="e">
        <f>AND(#REF!,"AAAAAH16/nU=")</f>
        <v>#REF!</v>
      </c>
      <c r="DO109" s="34" t="e">
        <f>AND(#REF!,"AAAAAH16/nY=")</f>
        <v>#REF!</v>
      </c>
      <c r="DP109" s="34" t="e">
        <f>IF(#REF!,"AAAAAH16/nc=",0)</f>
        <v>#REF!</v>
      </c>
      <c r="DQ109" s="34" t="e">
        <f>AND(#REF!,"AAAAAH16/ng=")</f>
        <v>#REF!</v>
      </c>
      <c r="DR109" s="34" t="e">
        <f>AND(#REF!,"AAAAAH16/nk=")</f>
        <v>#REF!</v>
      </c>
      <c r="DS109" s="34" t="e">
        <f>AND(#REF!,"AAAAAH16/no=")</f>
        <v>#REF!</v>
      </c>
      <c r="DT109" s="34" t="e">
        <f>AND(#REF!,"AAAAAH16/ns=")</f>
        <v>#REF!</v>
      </c>
      <c r="DU109" s="34" t="e">
        <f>AND(#REF!,"AAAAAH16/nw=")</f>
        <v>#REF!</v>
      </c>
      <c r="DV109" s="34" t="e">
        <f>AND(#REF!,"AAAAAH16/n0=")</f>
        <v>#REF!</v>
      </c>
      <c r="DW109" s="34" t="e">
        <f>AND(#REF!,"AAAAAH16/n4=")</f>
        <v>#REF!</v>
      </c>
      <c r="DX109" s="34" t="e">
        <f>AND(#REF!,"AAAAAH16/n8=")</f>
        <v>#REF!</v>
      </c>
      <c r="DY109" s="34" t="e">
        <f>AND(#REF!,"AAAAAH16/oA=")</f>
        <v>#REF!</v>
      </c>
      <c r="DZ109" s="34" t="e">
        <f>AND(#REF!,"AAAAAH16/oE=")</f>
        <v>#REF!</v>
      </c>
      <c r="EA109" s="34" t="e">
        <f>AND(#REF!,"AAAAAH16/oI=")</f>
        <v>#REF!</v>
      </c>
      <c r="EB109" s="34" t="e">
        <f>AND(#REF!,"AAAAAH16/oM=")</f>
        <v>#REF!</v>
      </c>
      <c r="EC109" s="34" t="e">
        <f>AND(#REF!,"AAAAAH16/oQ=")</f>
        <v>#REF!</v>
      </c>
      <c r="ED109" s="34" t="e">
        <f>AND(#REF!,"AAAAAH16/oU=")</f>
        <v>#REF!</v>
      </c>
      <c r="EE109" s="34" t="e">
        <f>AND(#REF!,"AAAAAH16/oY=")</f>
        <v>#REF!</v>
      </c>
      <c r="EF109" s="34" t="e">
        <f>AND(#REF!,"AAAAAH16/oc=")</f>
        <v>#REF!</v>
      </c>
      <c r="EG109" s="34" t="e">
        <f>IF(#REF!,"AAAAAH16/og=",0)</f>
        <v>#REF!</v>
      </c>
      <c r="EH109" s="34" t="e">
        <f>AND(#REF!,"AAAAAH16/ok=")</f>
        <v>#REF!</v>
      </c>
      <c r="EI109" s="34" t="e">
        <f>AND(#REF!,"AAAAAH16/oo=")</f>
        <v>#REF!</v>
      </c>
      <c r="EJ109" s="34" t="e">
        <f>AND(#REF!,"AAAAAH16/os=")</f>
        <v>#REF!</v>
      </c>
      <c r="EK109" s="34" t="e">
        <f>AND(#REF!,"AAAAAH16/ow=")</f>
        <v>#REF!</v>
      </c>
      <c r="EL109" s="34" t="e">
        <f>AND(#REF!,"AAAAAH16/o0=")</f>
        <v>#REF!</v>
      </c>
      <c r="EM109" s="34" t="e">
        <f>AND(#REF!,"AAAAAH16/o4=")</f>
        <v>#REF!</v>
      </c>
      <c r="EN109" s="34" t="e">
        <f>AND(#REF!,"AAAAAH16/o8=")</f>
        <v>#REF!</v>
      </c>
      <c r="EO109" s="34" t="e">
        <f>AND(#REF!,"AAAAAH16/pA=")</f>
        <v>#REF!</v>
      </c>
      <c r="EP109" s="34" t="e">
        <f>AND(#REF!,"AAAAAH16/pE=")</f>
        <v>#REF!</v>
      </c>
      <c r="EQ109" s="34" t="e">
        <f>AND(#REF!,"AAAAAH16/pI=")</f>
        <v>#REF!</v>
      </c>
      <c r="ER109" s="34" t="e">
        <f>AND(#REF!,"AAAAAH16/pM=")</f>
        <v>#REF!</v>
      </c>
      <c r="ES109" s="34" t="e">
        <f>AND(#REF!,"AAAAAH16/pQ=")</f>
        <v>#REF!</v>
      </c>
      <c r="ET109" s="34" t="e">
        <f>AND(#REF!,"AAAAAH16/pU=")</f>
        <v>#REF!</v>
      </c>
      <c r="EU109" s="34" t="e">
        <f>AND(#REF!,"AAAAAH16/pY=")</f>
        <v>#REF!</v>
      </c>
      <c r="EV109" s="34" t="e">
        <f>AND(#REF!,"AAAAAH16/pc=")</f>
        <v>#REF!</v>
      </c>
      <c r="EW109" s="34" t="e">
        <f>AND(#REF!,"AAAAAH16/pg=")</f>
        <v>#REF!</v>
      </c>
      <c r="EX109" s="34" t="e">
        <f>IF(#REF!,"AAAAAH16/pk=",0)</f>
        <v>#REF!</v>
      </c>
      <c r="EY109" s="34" t="e">
        <f>AND(#REF!,"AAAAAH16/po=")</f>
        <v>#REF!</v>
      </c>
      <c r="EZ109" s="34" t="e">
        <f>AND(#REF!,"AAAAAH16/ps=")</f>
        <v>#REF!</v>
      </c>
      <c r="FA109" s="34" t="e">
        <f>AND(#REF!,"AAAAAH16/pw=")</f>
        <v>#REF!</v>
      </c>
      <c r="FB109" s="34" t="e">
        <f>AND(#REF!,"AAAAAH16/p0=")</f>
        <v>#REF!</v>
      </c>
      <c r="FC109" s="34" t="e">
        <f>AND(#REF!,"AAAAAH16/p4=")</f>
        <v>#REF!</v>
      </c>
      <c r="FD109" s="34" t="e">
        <f>AND(#REF!,"AAAAAH16/p8=")</f>
        <v>#REF!</v>
      </c>
      <c r="FE109" s="34" t="e">
        <f>AND(#REF!,"AAAAAH16/qA=")</f>
        <v>#REF!</v>
      </c>
      <c r="FF109" s="34" t="e">
        <f>AND(#REF!,"AAAAAH16/qE=")</f>
        <v>#REF!</v>
      </c>
      <c r="FG109" s="34" t="e">
        <f>AND(#REF!,"AAAAAH16/qI=")</f>
        <v>#REF!</v>
      </c>
      <c r="FH109" s="34" t="e">
        <f>AND(#REF!,"AAAAAH16/qM=")</f>
        <v>#REF!</v>
      </c>
      <c r="FI109" s="34" t="e">
        <f>AND(#REF!,"AAAAAH16/qQ=")</f>
        <v>#REF!</v>
      </c>
      <c r="FJ109" s="34" t="e">
        <f>AND(#REF!,"AAAAAH16/qU=")</f>
        <v>#REF!</v>
      </c>
      <c r="FK109" s="34" t="e">
        <f>AND(#REF!,"AAAAAH16/qY=")</f>
        <v>#REF!</v>
      </c>
      <c r="FL109" s="34" t="e">
        <f>AND(#REF!,"AAAAAH16/qc=")</f>
        <v>#REF!</v>
      </c>
      <c r="FM109" s="34" t="e">
        <f>AND(#REF!,"AAAAAH16/qg=")</f>
        <v>#REF!</v>
      </c>
      <c r="FN109" s="34" t="e">
        <f>AND(#REF!,"AAAAAH16/qk=")</f>
        <v>#REF!</v>
      </c>
      <c r="FO109" s="34" t="e">
        <f>IF(#REF!,"AAAAAH16/qo=",0)</f>
        <v>#REF!</v>
      </c>
      <c r="FP109" s="34" t="e">
        <f>AND(#REF!,"AAAAAH16/qs=")</f>
        <v>#REF!</v>
      </c>
      <c r="FQ109" s="34" t="e">
        <f>AND(#REF!,"AAAAAH16/qw=")</f>
        <v>#REF!</v>
      </c>
      <c r="FR109" s="34" t="e">
        <f>AND(#REF!,"AAAAAH16/q0=")</f>
        <v>#REF!</v>
      </c>
      <c r="FS109" s="34" t="e">
        <f>AND(#REF!,"AAAAAH16/q4=")</f>
        <v>#REF!</v>
      </c>
      <c r="FT109" s="34" t="e">
        <f>AND(#REF!,"AAAAAH16/q8=")</f>
        <v>#REF!</v>
      </c>
      <c r="FU109" s="34" t="e">
        <f>AND(#REF!,"AAAAAH16/rA=")</f>
        <v>#REF!</v>
      </c>
      <c r="FV109" s="34" t="e">
        <f>AND(#REF!,"AAAAAH16/rE=")</f>
        <v>#REF!</v>
      </c>
      <c r="FW109" s="34" t="e">
        <f>AND(#REF!,"AAAAAH16/rI=")</f>
        <v>#REF!</v>
      </c>
      <c r="FX109" s="34" t="e">
        <f>AND(#REF!,"AAAAAH16/rM=")</f>
        <v>#REF!</v>
      </c>
      <c r="FY109" s="34" t="e">
        <f>AND(#REF!,"AAAAAH16/rQ=")</f>
        <v>#REF!</v>
      </c>
      <c r="FZ109" s="34" t="e">
        <f>AND(#REF!,"AAAAAH16/rU=")</f>
        <v>#REF!</v>
      </c>
      <c r="GA109" s="34" t="e">
        <f>AND(#REF!,"AAAAAH16/rY=")</f>
        <v>#REF!</v>
      </c>
      <c r="GB109" s="34" t="e">
        <f>AND(#REF!,"AAAAAH16/rc=")</f>
        <v>#REF!</v>
      </c>
      <c r="GC109" s="34" t="e">
        <f>AND(#REF!,"AAAAAH16/rg=")</f>
        <v>#REF!</v>
      </c>
      <c r="GD109" s="34" t="e">
        <f>AND(#REF!,"AAAAAH16/rk=")</f>
        <v>#REF!</v>
      </c>
      <c r="GE109" s="34" t="e">
        <f>AND(#REF!,"AAAAAH16/ro=")</f>
        <v>#REF!</v>
      </c>
      <c r="GF109" s="34" t="e">
        <f>IF(#REF!,"AAAAAH16/rs=",0)</f>
        <v>#REF!</v>
      </c>
      <c r="GG109" s="34" t="e">
        <f>AND(#REF!,"AAAAAH16/rw=")</f>
        <v>#REF!</v>
      </c>
      <c r="GH109" s="34" t="e">
        <f>AND(#REF!,"AAAAAH16/r0=")</f>
        <v>#REF!</v>
      </c>
      <c r="GI109" s="34" t="e">
        <f>AND(#REF!,"AAAAAH16/r4=")</f>
        <v>#REF!</v>
      </c>
      <c r="GJ109" s="34" t="e">
        <f>AND(#REF!,"AAAAAH16/r8=")</f>
        <v>#REF!</v>
      </c>
      <c r="GK109" s="34" t="e">
        <f>AND(#REF!,"AAAAAH16/sA=")</f>
        <v>#REF!</v>
      </c>
      <c r="GL109" s="34" t="e">
        <f>AND(#REF!,"AAAAAH16/sE=")</f>
        <v>#REF!</v>
      </c>
      <c r="GM109" s="34" t="e">
        <f>AND(#REF!,"AAAAAH16/sI=")</f>
        <v>#REF!</v>
      </c>
      <c r="GN109" s="34" t="e">
        <f>AND(#REF!,"AAAAAH16/sM=")</f>
        <v>#REF!</v>
      </c>
      <c r="GO109" s="34" t="e">
        <f>AND(#REF!,"AAAAAH16/sQ=")</f>
        <v>#REF!</v>
      </c>
      <c r="GP109" s="34" t="e">
        <f>AND(#REF!,"AAAAAH16/sU=")</f>
        <v>#REF!</v>
      </c>
      <c r="GQ109" s="34" t="e">
        <f>AND(#REF!,"AAAAAH16/sY=")</f>
        <v>#REF!</v>
      </c>
      <c r="GR109" s="34" t="e">
        <f>AND(#REF!,"AAAAAH16/sc=")</f>
        <v>#REF!</v>
      </c>
      <c r="GS109" s="34" t="e">
        <f>AND(#REF!,"AAAAAH16/sg=")</f>
        <v>#REF!</v>
      </c>
      <c r="GT109" s="34" t="e">
        <f>AND(#REF!,"AAAAAH16/sk=")</f>
        <v>#REF!</v>
      </c>
      <c r="GU109" s="34" t="e">
        <f>AND(#REF!,"AAAAAH16/so=")</f>
        <v>#REF!</v>
      </c>
      <c r="GV109" s="34" t="e">
        <f>AND(#REF!,"AAAAAH16/ss=")</f>
        <v>#REF!</v>
      </c>
      <c r="GW109" s="34" t="e">
        <f>IF(#REF!,"AAAAAH16/sw=",0)</f>
        <v>#REF!</v>
      </c>
      <c r="GX109" s="34" t="e">
        <f>AND(#REF!,"AAAAAH16/s0=")</f>
        <v>#REF!</v>
      </c>
      <c r="GY109" s="34" t="e">
        <f>AND(#REF!,"AAAAAH16/s4=")</f>
        <v>#REF!</v>
      </c>
      <c r="GZ109" s="34" t="e">
        <f>AND(#REF!,"AAAAAH16/s8=")</f>
        <v>#REF!</v>
      </c>
      <c r="HA109" s="34" t="e">
        <f>AND(#REF!,"AAAAAH16/tA=")</f>
        <v>#REF!</v>
      </c>
      <c r="HB109" s="34" t="e">
        <f>AND(#REF!,"AAAAAH16/tE=")</f>
        <v>#REF!</v>
      </c>
      <c r="HC109" s="34" t="e">
        <f>AND(#REF!,"AAAAAH16/tI=")</f>
        <v>#REF!</v>
      </c>
      <c r="HD109" s="34" t="e">
        <f>AND(#REF!,"AAAAAH16/tM=")</f>
        <v>#REF!</v>
      </c>
      <c r="HE109" s="34" t="e">
        <f>AND(#REF!,"AAAAAH16/tQ=")</f>
        <v>#REF!</v>
      </c>
      <c r="HF109" s="34" t="e">
        <f>AND(#REF!,"AAAAAH16/tU=")</f>
        <v>#REF!</v>
      </c>
      <c r="HG109" s="34" t="e">
        <f>AND(#REF!,"AAAAAH16/tY=")</f>
        <v>#REF!</v>
      </c>
      <c r="HH109" s="34" t="e">
        <f>AND(#REF!,"AAAAAH16/tc=")</f>
        <v>#REF!</v>
      </c>
      <c r="HI109" s="34" t="e">
        <f>AND(#REF!,"AAAAAH16/tg=")</f>
        <v>#REF!</v>
      </c>
      <c r="HJ109" s="34" t="e">
        <f>AND(#REF!,"AAAAAH16/tk=")</f>
        <v>#REF!</v>
      </c>
      <c r="HK109" s="34" t="e">
        <f>AND(#REF!,"AAAAAH16/to=")</f>
        <v>#REF!</v>
      </c>
      <c r="HL109" s="34" t="e">
        <f>AND(#REF!,"AAAAAH16/ts=")</f>
        <v>#REF!</v>
      </c>
      <c r="HM109" s="34" t="e">
        <f>AND(#REF!,"AAAAAH16/tw=")</f>
        <v>#REF!</v>
      </c>
      <c r="HN109" s="34" t="e">
        <f>IF(#REF!,"AAAAAH16/t0=",0)</f>
        <v>#REF!</v>
      </c>
      <c r="HO109" s="34" t="e">
        <f>AND(#REF!,"AAAAAH16/t4=")</f>
        <v>#REF!</v>
      </c>
      <c r="HP109" s="34" t="e">
        <f>AND(#REF!,"AAAAAH16/t8=")</f>
        <v>#REF!</v>
      </c>
      <c r="HQ109" s="34" t="e">
        <f>AND(#REF!,"AAAAAH16/uA=")</f>
        <v>#REF!</v>
      </c>
      <c r="HR109" s="34" t="e">
        <f>AND(#REF!,"AAAAAH16/uE=")</f>
        <v>#REF!</v>
      </c>
      <c r="HS109" s="34" t="e">
        <f>AND(#REF!,"AAAAAH16/uI=")</f>
        <v>#REF!</v>
      </c>
      <c r="HT109" s="34" t="e">
        <f>AND(#REF!,"AAAAAH16/uM=")</f>
        <v>#REF!</v>
      </c>
      <c r="HU109" s="34" t="e">
        <f>AND(#REF!,"AAAAAH16/uQ=")</f>
        <v>#REF!</v>
      </c>
      <c r="HV109" s="34" t="e">
        <f>AND(#REF!,"AAAAAH16/uU=")</f>
        <v>#REF!</v>
      </c>
      <c r="HW109" s="34" t="e">
        <f>AND(#REF!,"AAAAAH16/uY=")</f>
        <v>#REF!</v>
      </c>
      <c r="HX109" s="34" t="e">
        <f>AND(#REF!,"AAAAAH16/uc=")</f>
        <v>#REF!</v>
      </c>
      <c r="HY109" s="34" t="e">
        <f>AND(#REF!,"AAAAAH16/ug=")</f>
        <v>#REF!</v>
      </c>
      <c r="HZ109" s="34" t="e">
        <f>AND(#REF!,"AAAAAH16/uk=")</f>
        <v>#REF!</v>
      </c>
      <c r="IA109" s="34" t="e">
        <f>AND(#REF!,"AAAAAH16/uo=")</f>
        <v>#REF!</v>
      </c>
      <c r="IB109" s="34" t="e">
        <f>AND(#REF!,"AAAAAH16/us=")</f>
        <v>#REF!</v>
      </c>
      <c r="IC109" s="34" t="e">
        <f>AND(#REF!,"AAAAAH16/uw=")</f>
        <v>#REF!</v>
      </c>
      <c r="ID109" s="34" t="e">
        <f>AND(#REF!,"AAAAAH16/u0=")</f>
        <v>#REF!</v>
      </c>
      <c r="IE109" s="34" t="e">
        <f>IF(#REF!,"AAAAAH16/u4=",0)</f>
        <v>#REF!</v>
      </c>
      <c r="IF109" s="34" t="e">
        <f>AND(#REF!,"AAAAAH16/u8=")</f>
        <v>#REF!</v>
      </c>
      <c r="IG109" s="34" t="e">
        <f>AND(#REF!,"AAAAAH16/vA=")</f>
        <v>#REF!</v>
      </c>
      <c r="IH109" s="34" t="e">
        <f>AND(#REF!,"AAAAAH16/vE=")</f>
        <v>#REF!</v>
      </c>
      <c r="II109" s="34" t="e">
        <f>AND(#REF!,"AAAAAH16/vI=")</f>
        <v>#REF!</v>
      </c>
      <c r="IJ109" s="34" t="e">
        <f>AND(#REF!,"AAAAAH16/vM=")</f>
        <v>#REF!</v>
      </c>
      <c r="IK109" s="34" t="e">
        <f>AND(#REF!,"AAAAAH16/vQ=")</f>
        <v>#REF!</v>
      </c>
      <c r="IL109" s="34" t="e">
        <f>AND(#REF!,"AAAAAH16/vU=")</f>
        <v>#REF!</v>
      </c>
      <c r="IM109" s="34" t="e">
        <f>AND(#REF!,"AAAAAH16/vY=")</f>
        <v>#REF!</v>
      </c>
      <c r="IN109" s="34" t="e">
        <f>AND(#REF!,"AAAAAH16/vc=")</f>
        <v>#REF!</v>
      </c>
      <c r="IO109" s="34" t="e">
        <f>AND(#REF!,"AAAAAH16/vg=")</f>
        <v>#REF!</v>
      </c>
      <c r="IP109" s="34" t="e">
        <f>AND(#REF!,"AAAAAH16/vk=")</f>
        <v>#REF!</v>
      </c>
      <c r="IQ109" s="34" t="e">
        <f>AND(#REF!,"AAAAAH16/vo=")</f>
        <v>#REF!</v>
      </c>
      <c r="IR109" s="34" t="e">
        <f>AND(#REF!,"AAAAAH16/vs=")</f>
        <v>#REF!</v>
      </c>
      <c r="IS109" s="34" t="e">
        <f>AND(#REF!,"AAAAAH16/vw=")</f>
        <v>#REF!</v>
      </c>
      <c r="IT109" s="34" t="e">
        <f>AND(#REF!,"AAAAAH16/v0=")</f>
        <v>#REF!</v>
      </c>
      <c r="IU109" s="34" t="e">
        <f>AND(#REF!,"AAAAAH16/v4=")</f>
        <v>#REF!</v>
      </c>
      <c r="IV109" s="34" t="e">
        <f>IF(#REF!,"AAAAAH16/v8=",0)</f>
        <v>#REF!</v>
      </c>
    </row>
    <row r="110" spans="1:256" ht="12.75" customHeight="1" x14ac:dyDescent="0.2">
      <c r="A110" s="34" t="e">
        <f>AND(#REF!,"AAAAAHP2lwA=")</f>
        <v>#REF!</v>
      </c>
      <c r="B110" s="34" t="e">
        <f>AND(#REF!,"AAAAAHP2lwE=")</f>
        <v>#REF!</v>
      </c>
      <c r="C110" s="34" t="e">
        <f>AND(#REF!,"AAAAAHP2lwI=")</f>
        <v>#REF!</v>
      </c>
      <c r="D110" s="34" t="e">
        <f>AND(#REF!,"AAAAAHP2lwM=")</f>
        <v>#REF!</v>
      </c>
      <c r="E110" s="34" t="e">
        <f>AND(#REF!,"AAAAAHP2lwQ=")</f>
        <v>#REF!</v>
      </c>
      <c r="F110" s="34" t="e">
        <f>AND(#REF!,"AAAAAHP2lwU=")</f>
        <v>#REF!</v>
      </c>
      <c r="G110" s="34" t="e">
        <f>AND(#REF!,"AAAAAHP2lwY=")</f>
        <v>#REF!</v>
      </c>
      <c r="H110" s="34" t="e">
        <f>AND(#REF!,"AAAAAHP2lwc=")</f>
        <v>#REF!</v>
      </c>
      <c r="I110" s="34" t="e">
        <f>AND(#REF!,"AAAAAHP2lwg=")</f>
        <v>#REF!</v>
      </c>
      <c r="J110" s="34" t="e">
        <f>AND(#REF!,"AAAAAHP2lwk=")</f>
        <v>#REF!</v>
      </c>
      <c r="K110" s="34" t="e">
        <f>AND(#REF!,"AAAAAHP2lwo=")</f>
        <v>#REF!</v>
      </c>
      <c r="L110" s="34" t="e">
        <f>AND(#REF!,"AAAAAHP2lws=")</f>
        <v>#REF!</v>
      </c>
      <c r="M110" s="34" t="e">
        <f>AND(#REF!,"AAAAAHP2lww=")</f>
        <v>#REF!</v>
      </c>
      <c r="N110" s="34" t="e">
        <f>AND(#REF!,"AAAAAHP2lw0=")</f>
        <v>#REF!</v>
      </c>
      <c r="O110" s="34" t="e">
        <f>AND(#REF!,"AAAAAHP2lw4=")</f>
        <v>#REF!</v>
      </c>
      <c r="P110" s="34" t="e">
        <f>AND(#REF!,"AAAAAHP2lw8=")</f>
        <v>#REF!</v>
      </c>
      <c r="Q110" s="34" t="e">
        <f>IF(#REF!,"AAAAAHP2lxA=",0)</f>
        <v>#REF!</v>
      </c>
      <c r="R110" s="34" t="e">
        <f>AND(#REF!,"AAAAAHP2lxE=")</f>
        <v>#REF!</v>
      </c>
      <c r="S110" s="34" t="e">
        <f>AND(#REF!,"AAAAAHP2lxI=")</f>
        <v>#REF!</v>
      </c>
      <c r="T110" s="34" t="e">
        <f>AND(#REF!,"AAAAAHP2lxM=")</f>
        <v>#REF!</v>
      </c>
      <c r="U110" s="34" t="e">
        <f>AND(#REF!,"AAAAAHP2lxQ=")</f>
        <v>#REF!</v>
      </c>
      <c r="V110" s="34" t="e">
        <f>AND(#REF!,"AAAAAHP2lxU=")</f>
        <v>#REF!</v>
      </c>
      <c r="W110" s="34" t="e">
        <f>AND(#REF!,"AAAAAHP2lxY=")</f>
        <v>#REF!</v>
      </c>
      <c r="X110" s="34" t="e">
        <f>AND(#REF!,"AAAAAHP2lxc=")</f>
        <v>#REF!</v>
      </c>
      <c r="Y110" s="34" t="e">
        <f>AND(#REF!,"AAAAAHP2lxg=")</f>
        <v>#REF!</v>
      </c>
      <c r="Z110" s="34" t="e">
        <f>AND(#REF!,"AAAAAHP2lxk=")</f>
        <v>#REF!</v>
      </c>
      <c r="AA110" s="34" t="e">
        <f>AND(#REF!,"AAAAAHP2lxo=")</f>
        <v>#REF!</v>
      </c>
      <c r="AB110" s="34" t="e">
        <f>AND(#REF!,"AAAAAHP2lxs=")</f>
        <v>#REF!</v>
      </c>
      <c r="AC110" s="34" t="e">
        <f>AND(#REF!,"AAAAAHP2lxw=")</f>
        <v>#REF!</v>
      </c>
      <c r="AD110" s="34" t="e">
        <f>AND(#REF!,"AAAAAHP2lx0=")</f>
        <v>#REF!</v>
      </c>
      <c r="AE110" s="34" t="e">
        <f>AND(#REF!,"AAAAAHP2lx4=")</f>
        <v>#REF!</v>
      </c>
      <c r="AF110" s="34" t="e">
        <f>AND(#REF!,"AAAAAHP2lx8=")</f>
        <v>#REF!</v>
      </c>
      <c r="AG110" s="34" t="e">
        <f>AND(#REF!,"AAAAAHP2lyA=")</f>
        <v>#REF!</v>
      </c>
      <c r="AH110" s="34" t="e">
        <f>IF(#REF!,"AAAAAHP2lyE=",0)</f>
        <v>#REF!</v>
      </c>
      <c r="AI110" s="34" t="e">
        <f>AND(#REF!,"AAAAAHP2lyI=")</f>
        <v>#REF!</v>
      </c>
      <c r="AJ110" s="34" t="e">
        <f>AND(#REF!,"AAAAAHP2lyM=")</f>
        <v>#REF!</v>
      </c>
      <c r="AK110" s="34" t="e">
        <f>AND(#REF!,"AAAAAHP2lyQ=")</f>
        <v>#REF!</v>
      </c>
      <c r="AL110" s="34" t="e">
        <f>AND(#REF!,"AAAAAHP2lyU=")</f>
        <v>#REF!</v>
      </c>
      <c r="AM110" s="34" t="e">
        <f>AND(#REF!,"AAAAAHP2lyY=")</f>
        <v>#REF!</v>
      </c>
      <c r="AN110" s="34" t="e">
        <f>AND(#REF!,"AAAAAHP2lyc=")</f>
        <v>#REF!</v>
      </c>
      <c r="AO110" s="34" t="e">
        <f>AND(#REF!,"AAAAAHP2lyg=")</f>
        <v>#REF!</v>
      </c>
      <c r="AP110" s="34" t="e">
        <f>AND(#REF!,"AAAAAHP2lyk=")</f>
        <v>#REF!</v>
      </c>
      <c r="AQ110" s="34" t="e">
        <f>AND(#REF!,"AAAAAHP2lyo=")</f>
        <v>#REF!</v>
      </c>
      <c r="AR110" s="34" t="e">
        <f>AND(#REF!,"AAAAAHP2lys=")</f>
        <v>#REF!</v>
      </c>
      <c r="AS110" s="34" t="e">
        <f>AND(#REF!,"AAAAAHP2lyw=")</f>
        <v>#REF!</v>
      </c>
      <c r="AT110" s="34" t="e">
        <f>AND(#REF!,"AAAAAHP2ly0=")</f>
        <v>#REF!</v>
      </c>
      <c r="AU110" s="34" t="e">
        <f>AND(#REF!,"AAAAAHP2ly4=")</f>
        <v>#REF!</v>
      </c>
      <c r="AV110" s="34" t="e">
        <f>AND(#REF!,"AAAAAHP2ly8=")</f>
        <v>#REF!</v>
      </c>
      <c r="AW110" s="34" t="e">
        <f>AND(#REF!,"AAAAAHP2lzA=")</f>
        <v>#REF!</v>
      </c>
      <c r="AX110" s="34" t="e">
        <f>AND(#REF!,"AAAAAHP2lzE=")</f>
        <v>#REF!</v>
      </c>
      <c r="AY110" s="34" t="e">
        <f>IF(#REF!,"AAAAAHP2lzI=",0)</f>
        <v>#REF!</v>
      </c>
      <c r="AZ110" s="34" t="e">
        <f>AND(#REF!,"AAAAAHP2lzM=")</f>
        <v>#REF!</v>
      </c>
      <c r="BA110" s="34" t="e">
        <f>AND(#REF!,"AAAAAHP2lzQ=")</f>
        <v>#REF!</v>
      </c>
      <c r="BB110" s="34" t="e">
        <f>AND(#REF!,"AAAAAHP2lzU=")</f>
        <v>#REF!</v>
      </c>
      <c r="BC110" s="34" t="e">
        <f>AND(#REF!,"AAAAAHP2lzY=")</f>
        <v>#REF!</v>
      </c>
      <c r="BD110" s="34" t="e">
        <f>AND(#REF!,"AAAAAHP2lzc=")</f>
        <v>#REF!</v>
      </c>
      <c r="BE110" s="34" t="e">
        <f>AND(#REF!,"AAAAAHP2lzg=")</f>
        <v>#REF!</v>
      </c>
      <c r="BF110" s="34" t="e">
        <f>AND(#REF!,"AAAAAHP2lzk=")</f>
        <v>#REF!</v>
      </c>
      <c r="BG110" s="34" t="e">
        <f>AND(#REF!,"AAAAAHP2lzo=")</f>
        <v>#REF!</v>
      </c>
      <c r="BH110" s="34" t="e">
        <f>AND(#REF!,"AAAAAHP2lzs=")</f>
        <v>#REF!</v>
      </c>
      <c r="BI110" s="34" t="e">
        <f>AND(#REF!,"AAAAAHP2lzw=")</f>
        <v>#REF!</v>
      </c>
      <c r="BJ110" s="34" t="e">
        <f>AND(#REF!,"AAAAAHP2lz0=")</f>
        <v>#REF!</v>
      </c>
      <c r="BK110" s="34" t="e">
        <f>AND(#REF!,"AAAAAHP2lz4=")</f>
        <v>#REF!</v>
      </c>
      <c r="BL110" s="34" t="e">
        <f>AND(#REF!,"AAAAAHP2lz8=")</f>
        <v>#REF!</v>
      </c>
      <c r="BM110" s="34" t="e">
        <f>AND(#REF!,"AAAAAHP2l0A=")</f>
        <v>#REF!</v>
      </c>
      <c r="BN110" s="34" t="e">
        <f>AND(#REF!,"AAAAAHP2l0E=")</f>
        <v>#REF!</v>
      </c>
      <c r="BO110" s="34" t="e">
        <f>AND(#REF!,"AAAAAHP2l0I=")</f>
        <v>#REF!</v>
      </c>
      <c r="BP110" s="34" t="e">
        <f>IF(#REF!,"AAAAAHP2l0M=",0)</f>
        <v>#REF!</v>
      </c>
      <c r="BQ110" s="34" t="e">
        <f>AND(#REF!,"AAAAAHP2l0Q=")</f>
        <v>#REF!</v>
      </c>
      <c r="BR110" s="34" t="e">
        <f>AND(#REF!,"AAAAAHP2l0U=")</f>
        <v>#REF!</v>
      </c>
      <c r="BS110" s="34" t="e">
        <f>AND(#REF!,"AAAAAHP2l0Y=")</f>
        <v>#REF!</v>
      </c>
      <c r="BT110" s="34" t="e">
        <f>AND(#REF!,"AAAAAHP2l0c=")</f>
        <v>#REF!</v>
      </c>
      <c r="BU110" s="34" t="e">
        <f>AND(#REF!,"AAAAAHP2l0g=")</f>
        <v>#REF!</v>
      </c>
      <c r="BV110" s="34" t="e">
        <f>AND(#REF!,"AAAAAHP2l0k=")</f>
        <v>#REF!</v>
      </c>
      <c r="BW110" s="34" t="e">
        <f>AND(#REF!,"AAAAAHP2l0o=")</f>
        <v>#REF!</v>
      </c>
      <c r="BX110" s="34" t="e">
        <f>AND(#REF!,"AAAAAHP2l0s=")</f>
        <v>#REF!</v>
      </c>
      <c r="BY110" s="34" t="e">
        <f>AND(#REF!,"AAAAAHP2l0w=")</f>
        <v>#REF!</v>
      </c>
      <c r="BZ110" s="34" t="e">
        <f>AND(#REF!,"AAAAAHP2l00=")</f>
        <v>#REF!</v>
      </c>
      <c r="CA110" s="34" t="e">
        <f>AND(#REF!,"AAAAAHP2l04=")</f>
        <v>#REF!</v>
      </c>
      <c r="CB110" s="34" t="e">
        <f>AND(#REF!,"AAAAAHP2l08=")</f>
        <v>#REF!</v>
      </c>
      <c r="CC110" s="34" t="e">
        <f>AND(#REF!,"AAAAAHP2l1A=")</f>
        <v>#REF!</v>
      </c>
      <c r="CD110" s="34" t="e">
        <f>AND(#REF!,"AAAAAHP2l1E=")</f>
        <v>#REF!</v>
      </c>
      <c r="CE110" s="34" t="e">
        <f>AND(#REF!,"AAAAAHP2l1I=")</f>
        <v>#REF!</v>
      </c>
      <c r="CF110" s="34" t="e">
        <f>AND(#REF!,"AAAAAHP2l1M=")</f>
        <v>#REF!</v>
      </c>
      <c r="CG110" s="34" t="e">
        <f>IF(#REF!,"AAAAAHP2l1Q=",0)</f>
        <v>#REF!</v>
      </c>
      <c r="CH110" s="34" t="e">
        <f>AND(#REF!,"AAAAAHP2l1U=")</f>
        <v>#REF!</v>
      </c>
      <c r="CI110" s="34" t="e">
        <f>AND(#REF!,"AAAAAHP2l1Y=")</f>
        <v>#REF!</v>
      </c>
      <c r="CJ110" s="34" t="e">
        <f>AND(#REF!,"AAAAAHP2l1c=")</f>
        <v>#REF!</v>
      </c>
      <c r="CK110" s="34" t="e">
        <f>AND(#REF!,"AAAAAHP2l1g=")</f>
        <v>#REF!</v>
      </c>
      <c r="CL110" s="34" t="e">
        <f>AND(#REF!,"AAAAAHP2l1k=")</f>
        <v>#REF!</v>
      </c>
      <c r="CM110" s="34" t="e">
        <f>AND(#REF!,"AAAAAHP2l1o=")</f>
        <v>#REF!</v>
      </c>
      <c r="CN110" s="34" t="e">
        <f>AND(#REF!,"AAAAAHP2l1s=")</f>
        <v>#REF!</v>
      </c>
      <c r="CO110" s="34" t="e">
        <f>AND(#REF!,"AAAAAHP2l1w=")</f>
        <v>#REF!</v>
      </c>
      <c r="CP110" s="34" t="e">
        <f>AND(#REF!,"AAAAAHP2l10=")</f>
        <v>#REF!</v>
      </c>
      <c r="CQ110" s="34" t="e">
        <f>AND(#REF!,"AAAAAHP2l14=")</f>
        <v>#REF!</v>
      </c>
      <c r="CR110" s="34" t="e">
        <f>AND(#REF!,"AAAAAHP2l18=")</f>
        <v>#REF!</v>
      </c>
      <c r="CS110" s="34" t="e">
        <f>AND(#REF!,"AAAAAHP2l2A=")</f>
        <v>#REF!</v>
      </c>
      <c r="CT110" s="34" t="e">
        <f>AND(#REF!,"AAAAAHP2l2E=")</f>
        <v>#REF!</v>
      </c>
      <c r="CU110" s="34" t="e">
        <f>AND(#REF!,"AAAAAHP2l2I=")</f>
        <v>#REF!</v>
      </c>
      <c r="CV110" s="34" t="e">
        <f>AND(#REF!,"AAAAAHP2l2M=")</f>
        <v>#REF!</v>
      </c>
      <c r="CW110" s="34" t="e">
        <f>AND(#REF!,"AAAAAHP2l2Q=")</f>
        <v>#REF!</v>
      </c>
      <c r="CX110" s="34" t="e">
        <f>IF(#REF!,"AAAAAHP2l2U=",0)</f>
        <v>#REF!</v>
      </c>
      <c r="CY110" s="34" t="e">
        <f>AND(#REF!,"AAAAAHP2l2Y=")</f>
        <v>#REF!</v>
      </c>
      <c r="CZ110" s="34" t="e">
        <f>AND(#REF!,"AAAAAHP2l2c=")</f>
        <v>#REF!</v>
      </c>
      <c r="DA110" s="34" t="e">
        <f>AND(#REF!,"AAAAAHP2l2g=")</f>
        <v>#REF!</v>
      </c>
      <c r="DB110" s="34" t="e">
        <f>AND(#REF!,"AAAAAHP2l2k=")</f>
        <v>#REF!</v>
      </c>
      <c r="DC110" s="34" t="e">
        <f>AND(#REF!,"AAAAAHP2l2o=")</f>
        <v>#REF!</v>
      </c>
      <c r="DD110" s="34" t="e">
        <f>AND(#REF!,"AAAAAHP2l2s=")</f>
        <v>#REF!</v>
      </c>
      <c r="DE110" s="34" t="e">
        <f>AND(#REF!,"AAAAAHP2l2w=")</f>
        <v>#REF!</v>
      </c>
      <c r="DF110" s="34" t="e">
        <f>AND(#REF!,"AAAAAHP2l20=")</f>
        <v>#REF!</v>
      </c>
      <c r="DG110" s="34" t="e">
        <f>AND(#REF!,"AAAAAHP2l24=")</f>
        <v>#REF!</v>
      </c>
      <c r="DH110" s="34" t="e">
        <f>AND(#REF!,"AAAAAHP2l28=")</f>
        <v>#REF!</v>
      </c>
      <c r="DI110" s="34" t="e">
        <f>AND(#REF!,"AAAAAHP2l3A=")</f>
        <v>#REF!</v>
      </c>
      <c r="DJ110" s="34" t="e">
        <f>AND(#REF!,"AAAAAHP2l3E=")</f>
        <v>#REF!</v>
      </c>
      <c r="DK110" s="34" t="e">
        <f>AND(#REF!,"AAAAAHP2l3I=")</f>
        <v>#REF!</v>
      </c>
      <c r="DL110" s="34" t="e">
        <f>AND(#REF!,"AAAAAHP2l3M=")</f>
        <v>#REF!</v>
      </c>
      <c r="DM110" s="34" t="e">
        <f>AND(#REF!,"AAAAAHP2l3Q=")</f>
        <v>#REF!</v>
      </c>
      <c r="DN110" s="34" t="e">
        <f>AND(#REF!,"AAAAAHP2l3U=")</f>
        <v>#REF!</v>
      </c>
      <c r="DO110" s="34" t="e">
        <f>IF(#REF!,"AAAAAHP2l3Y=",0)</f>
        <v>#REF!</v>
      </c>
      <c r="DP110" s="34" t="e">
        <f>AND(#REF!,"AAAAAHP2l3c=")</f>
        <v>#REF!</v>
      </c>
      <c r="DQ110" s="34" t="e">
        <f>AND(#REF!,"AAAAAHP2l3g=")</f>
        <v>#REF!</v>
      </c>
      <c r="DR110" s="34" t="e">
        <f>AND(#REF!,"AAAAAHP2l3k=")</f>
        <v>#REF!</v>
      </c>
      <c r="DS110" s="34" t="e">
        <f>AND(#REF!,"AAAAAHP2l3o=")</f>
        <v>#REF!</v>
      </c>
      <c r="DT110" s="34" t="e">
        <f>AND(#REF!,"AAAAAHP2l3s=")</f>
        <v>#REF!</v>
      </c>
      <c r="DU110" s="34" t="e">
        <f>AND(#REF!,"AAAAAHP2l3w=")</f>
        <v>#REF!</v>
      </c>
      <c r="DV110" s="34" t="e">
        <f>AND(#REF!,"AAAAAHP2l30=")</f>
        <v>#REF!</v>
      </c>
      <c r="DW110" s="34" t="e">
        <f>AND(#REF!,"AAAAAHP2l34=")</f>
        <v>#REF!</v>
      </c>
      <c r="DX110" s="34" t="e">
        <f>AND(#REF!,"AAAAAHP2l38=")</f>
        <v>#REF!</v>
      </c>
      <c r="DY110" s="34" t="e">
        <f>AND(#REF!,"AAAAAHP2l4A=")</f>
        <v>#REF!</v>
      </c>
      <c r="DZ110" s="34" t="e">
        <f>AND(#REF!,"AAAAAHP2l4E=")</f>
        <v>#REF!</v>
      </c>
      <c r="EA110" s="34" t="e">
        <f>AND(#REF!,"AAAAAHP2l4I=")</f>
        <v>#REF!</v>
      </c>
      <c r="EB110" s="34" t="e">
        <f>AND(#REF!,"AAAAAHP2l4M=")</f>
        <v>#REF!</v>
      </c>
      <c r="EC110" s="34" t="e">
        <f>AND(#REF!,"AAAAAHP2l4Q=")</f>
        <v>#REF!</v>
      </c>
      <c r="ED110" s="34" t="e">
        <f>AND(#REF!,"AAAAAHP2l4U=")</f>
        <v>#REF!</v>
      </c>
      <c r="EE110" s="34" t="e">
        <f>AND(#REF!,"AAAAAHP2l4Y=")</f>
        <v>#REF!</v>
      </c>
      <c r="EF110" s="34" t="e">
        <f>IF(#REF!,"AAAAAHP2l4c=",0)</f>
        <v>#REF!</v>
      </c>
      <c r="EG110" s="34" t="e">
        <f>AND(#REF!,"AAAAAHP2l4g=")</f>
        <v>#REF!</v>
      </c>
      <c r="EH110" s="34" t="e">
        <f>AND(#REF!,"AAAAAHP2l4k=")</f>
        <v>#REF!</v>
      </c>
      <c r="EI110" s="34" t="e">
        <f>AND(#REF!,"AAAAAHP2l4o=")</f>
        <v>#REF!</v>
      </c>
      <c r="EJ110" s="34" t="e">
        <f>AND(#REF!,"AAAAAHP2l4s=")</f>
        <v>#REF!</v>
      </c>
      <c r="EK110" s="34" t="e">
        <f>AND(#REF!,"AAAAAHP2l4w=")</f>
        <v>#REF!</v>
      </c>
      <c r="EL110" s="34" t="e">
        <f>AND(#REF!,"AAAAAHP2l40=")</f>
        <v>#REF!</v>
      </c>
      <c r="EM110" s="34" t="e">
        <f>AND(#REF!,"AAAAAHP2l44=")</f>
        <v>#REF!</v>
      </c>
      <c r="EN110" s="34" t="e">
        <f>AND(#REF!,"AAAAAHP2l48=")</f>
        <v>#REF!</v>
      </c>
      <c r="EO110" s="34" t="e">
        <f>AND(#REF!,"AAAAAHP2l5A=")</f>
        <v>#REF!</v>
      </c>
      <c r="EP110" s="34" t="e">
        <f>AND(#REF!,"AAAAAHP2l5E=")</f>
        <v>#REF!</v>
      </c>
      <c r="EQ110" s="34" t="e">
        <f>AND(#REF!,"AAAAAHP2l5I=")</f>
        <v>#REF!</v>
      </c>
      <c r="ER110" s="34" t="e">
        <f>AND(#REF!,"AAAAAHP2l5M=")</f>
        <v>#REF!</v>
      </c>
      <c r="ES110" s="34" t="e">
        <f>AND(#REF!,"AAAAAHP2l5Q=")</f>
        <v>#REF!</v>
      </c>
      <c r="ET110" s="34" t="e">
        <f>AND(#REF!,"AAAAAHP2l5U=")</f>
        <v>#REF!</v>
      </c>
      <c r="EU110" s="34" t="e">
        <f>AND(#REF!,"AAAAAHP2l5Y=")</f>
        <v>#REF!</v>
      </c>
      <c r="EV110" s="34" t="e">
        <f>AND(#REF!,"AAAAAHP2l5c=")</f>
        <v>#REF!</v>
      </c>
      <c r="EW110" s="34" t="e">
        <f>IF(#REF!,"AAAAAHP2l5g=",0)</f>
        <v>#REF!</v>
      </c>
      <c r="EX110" s="34" t="e">
        <f>AND(#REF!,"AAAAAHP2l5k=")</f>
        <v>#REF!</v>
      </c>
      <c r="EY110" s="34" t="e">
        <f>AND(#REF!,"AAAAAHP2l5o=")</f>
        <v>#REF!</v>
      </c>
      <c r="EZ110" s="34" t="e">
        <f>AND(#REF!,"AAAAAHP2l5s=")</f>
        <v>#REF!</v>
      </c>
      <c r="FA110" s="34" t="e">
        <f>AND(#REF!,"AAAAAHP2l5w=")</f>
        <v>#REF!</v>
      </c>
      <c r="FB110" s="34" t="e">
        <f>AND(#REF!,"AAAAAHP2l50=")</f>
        <v>#REF!</v>
      </c>
      <c r="FC110" s="34" t="e">
        <f>AND(#REF!,"AAAAAHP2l54=")</f>
        <v>#REF!</v>
      </c>
      <c r="FD110" s="34" t="e">
        <f>AND(#REF!,"AAAAAHP2l58=")</f>
        <v>#REF!</v>
      </c>
      <c r="FE110" s="34" t="e">
        <f>AND(#REF!,"AAAAAHP2l6A=")</f>
        <v>#REF!</v>
      </c>
      <c r="FF110" s="34" t="e">
        <f>AND(#REF!,"AAAAAHP2l6E=")</f>
        <v>#REF!</v>
      </c>
      <c r="FG110" s="34" t="e">
        <f>AND(#REF!,"AAAAAHP2l6I=")</f>
        <v>#REF!</v>
      </c>
      <c r="FH110" s="34" t="e">
        <f>AND(#REF!,"AAAAAHP2l6M=")</f>
        <v>#REF!</v>
      </c>
      <c r="FI110" s="34" t="e">
        <f>AND(#REF!,"AAAAAHP2l6Q=")</f>
        <v>#REF!</v>
      </c>
      <c r="FJ110" s="34" t="e">
        <f>AND(#REF!,"AAAAAHP2l6U=")</f>
        <v>#REF!</v>
      </c>
      <c r="FK110" s="34" t="e">
        <f>AND(#REF!,"AAAAAHP2l6Y=")</f>
        <v>#REF!</v>
      </c>
      <c r="FL110" s="34" t="e">
        <f>AND(#REF!,"AAAAAHP2l6c=")</f>
        <v>#REF!</v>
      </c>
      <c r="FM110" s="34" t="e">
        <f>AND(#REF!,"AAAAAHP2l6g=")</f>
        <v>#REF!</v>
      </c>
      <c r="FN110" s="34" t="e">
        <f>IF(#REF!,"AAAAAHP2l6k=",0)</f>
        <v>#REF!</v>
      </c>
      <c r="FO110" s="34" t="e">
        <f>AND(#REF!,"AAAAAHP2l6o=")</f>
        <v>#REF!</v>
      </c>
      <c r="FP110" s="34" t="e">
        <f>AND(#REF!,"AAAAAHP2l6s=")</f>
        <v>#REF!</v>
      </c>
      <c r="FQ110" s="34" t="e">
        <f>AND(#REF!,"AAAAAHP2l6w=")</f>
        <v>#REF!</v>
      </c>
      <c r="FR110" s="34" t="e">
        <f>AND(#REF!,"AAAAAHP2l60=")</f>
        <v>#REF!</v>
      </c>
      <c r="FS110" s="34" t="e">
        <f>AND(#REF!,"AAAAAHP2l64=")</f>
        <v>#REF!</v>
      </c>
      <c r="FT110" s="34" t="e">
        <f>AND(#REF!,"AAAAAHP2l68=")</f>
        <v>#REF!</v>
      </c>
      <c r="FU110" s="34" t="e">
        <f>AND(#REF!,"AAAAAHP2l7A=")</f>
        <v>#REF!</v>
      </c>
      <c r="FV110" s="34" t="e">
        <f>AND(#REF!,"AAAAAHP2l7E=")</f>
        <v>#REF!</v>
      </c>
      <c r="FW110" s="34" t="e">
        <f>AND(#REF!,"AAAAAHP2l7I=")</f>
        <v>#REF!</v>
      </c>
      <c r="FX110" s="34" t="e">
        <f>AND(#REF!,"AAAAAHP2l7M=")</f>
        <v>#REF!</v>
      </c>
      <c r="FY110" s="34" t="e">
        <f>AND(#REF!,"AAAAAHP2l7Q=")</f>
        <v>#REF!</v>
      </c>
      <c r="FZ110" s="34" t="e">
        <f>AND(#REF!,"AAAAAHP2l7U=")</f>
        <v>#REF!</v>
      </c>
      <c r="GA110" s="34" t="e">
        <f>AND(#REF!,"AAAAAHP2l7Y=")</f>
        <v>#REF!</v>
      </c>
      <c r="GB110" s="34" t="e">
        <f>AND(#REF!,"AAAAAHP2l7c=")</f>
        <v>#REF!</v>
      </c>
      <c r="GC110" s="34" t="e">
        <f>AND(#REF!,"AAAAAHP2l7g=")</f>
        <v>#REF!</v>
      </c>
      <c r="GD110" s="34" t="e">
        <f>AND(#REF!,"AAAAAHP2l7k=")</f>
        <v>#REF!</v>
      </c>
      <c r="GE110" s="34" t="e">
        <f>IF(#REF!,"AAAAAHP2l7o=",0)</f>
        <v>#REF!</v>
      </c>
      <c r="GF110" s="34" t="e">
        <f>AND(#REF!,"AAAAAHP2l7s=")</f>
        <v>#REF!</v>
      </c>
      <c r="GG110" s="34" t="e">
        <f>AND(#REF!,"AAAAAHP2l7w=")</f>
        <v>#REF!</v>
      </c>
      <c r="GH110" s="34" t="e">
        <f>AND(#REF!,"AAAAAHP2l70=")</f>
        <v>#REF!</v>
      </c>
      <c r="GI110" s="34" t="e">
        <f>AND(#REF!,"AAAAAHP2l74=")</f>
        <v>#REF!</v>
      </c>
      <c r="GJ110" s="34" t="e">
        <f>AND(#REF!,"AAAAAHP2l78=")</f>
        <v>#REF!</v>
      </c>
      <c r="GK110" s="34" t="e">
        <f>AND(#REF!,"AAAAAHP2l8A=")</f>
        <v>#REF!</v>
      </c>
      <c r="GL110" s="34" t="e">
        <f>AND(#REF!,"AAAAAHP2l8E=")</f>
        <v>#REF!</v>
      </c>
      <c r="GM110" s="34" t="e">
        <f>AND(#REF!,"AAAAAHP2l8I=")</f>
        <v>#REF!</v>
      </c>
      <c r="GN110" s="34" t="e">
        <f>AND(#REF!,"AAAAAHP2l8M=")</f>
        <v>#REF!</v>
      </c>
      <c r="GO110" s="34" t="e">
        <f>AND(#REF!,"AAAAAHP2l8Q=")</f>
        <v>#REF!</v>
      </c>
      <c r="GP110" s="34" t="e">
        <f>AND(#REF!,"AAAAAHP2l8U=")</f>
        <v>#REF!</v>
      </c>
      <c r="GQ110" s="34" t="e">
        <f>AND(#REF!,"AAAAAHP2l8Y=")</f>
        <v>#REF!</v>
      </c>
      <c r="GR110" s="34" t="e">
        <f>AND(#REF!,"AAAAAHP2l8c=")</f>
        <v>#REF!</v>
      </c>
      <c r="GS110" s="34" t="e">
        <f>AND(#REF!,"AAAAAHP2l8g=")</f>
        <v>#REF!</v>
      </c>
      <c r="GT110" s="34" t="e">
        <f>AND(#REF!,"AAAAAHP2l8k=")</f>
        <v>#REF!</v>
      </c>
      <c r="GU110" s="34" t="e">
        <f>AND(#REF!,"AAAAAHP2l8o=")</f>
        <v>#REF!</v>
      </c>
      <c r="GV110" s="34" t="e">
        <f>IF(#REF!,"AAAAAHP2l8s=",0)</f>
        <v>#REF!</v>
      </c>
      <c r="GW110" s="34" t="e">
        <f>AND(#REF!,"AAAAAHP2l8w=")</f>
        <v>#REF!</v>
      </c>
      <c r="GX110" s="34" t="e">
        <f>AND(#REF!,"AAAAAHP2l80=")</f>
        <v>#REF!</v>
      </c>
      <c r="GY110" s="34" t="e">
        <f>AND(#REF!,"AAAAAHP2l84=")</f>
        <v>#REF!</v>
      </c>
      <c r="GZ110" s="34" t="e">
        <f>AND(#REF!,"AAAAAHP2l88=")</f>
        <v>#REF!</v>
      </c>
      <c r="HA110" s="34" t="e">
        <f>AND(#REF!,"AAAAAHP2l9A=")</f>
        <v>#REF!</v>
      </c>
      <c r="HB110" s="34" t="e">
        <f>AND(#REF!,"AAAAAHP2l9E=")</f>
        <v>#REF!</v>
      </c>
      <c r="HC110" s="34" t="e">
        <f>AND(#REF!,"AAAAAHP2l9I=")</f>
        <v>#REF!</v>
      </c>
      <c r="HD110" s="34" t="e">
        <f>AND(#REF!,"AAAAAHP2l9M=")</f>
        <v>#REF!</v>
      </c>
      <c r="HE110" s="34" t="e">
        <f>AND(#REF!,"AAAAAHP2l9Q=")</f>
        <v>#REF!</v>
      </c>
      <c r="HF110" s="34" t="e">
        <f>AND(#REF!,"AAAAAHP2l9U=")</f>
        <v>#REF!</v>
      </c>
      <c r="HG110" s="34" t="e">
        <f>AND(#REF!,"AAAAAHP2l9Y=")</f>
        <v>#REF!</v>
      </c>
      <c r="HH110" s="34" t="e">
        <f>AND(#REF!,"AAAAAHP2l9c=")</f>
        <v>#REF!</v>
      </c>
      <c r="HI110" s="34" t="e">
        <f>AND(#REF!,"AAAAAHP2l9g=")</f>
        <v>#REF!</v>
      </c>
      <c r="HJ110" s="34" t="e">
        <f>AND(#REF!,"AAAAAHP2l9k=")</f>
        <v>#REF!</v>
      </c>
      <c r="HK110" s="34" t="e">
        <f>AND(#REF!,"AAAAAHP2l9o=")</f>
        <v>#REF!</v>
      </c>
      <c r="HL110" s="34" t="e">
        <f>AND(#REF!,"AAAAAHP2l9s=")</f>
        <v>#REF!</v>
      </c>
      <c r="HM110" s="34" t="e">
        <f>IF(#REF!,"AAAAAHP2l9w=",0)</f>
        <v>#REF!</v>
      </c>
      <c r="HN110" s="34" t="e">
        <f>AND(#REF!,"AAAAAHP2l90=")</f>
        <v>#REF!</v>
      </c>
      <c r="HO110" s="34" t="e">
        <f>AND(#REF!,"AAAAAHP2l94=")</f>
        <v>#REF!</v>
      </c>
      <c r="HP110" s="34" t="e">
        <f>AND(#REF!,"AAAAAHP2l98=")</f>
        <v>#REF!</v>
      </c>
      <c r="HQ110" s="34" t="e">
        <f>AND(#REF!,"AAAAAHP2l+A=")</f>
        <v>#REF!</v>
      </c>
      <c r="HR110" s="34" t="e">
        <f>AND(#REF!,"AAAAAHP2l+E=")</f>
        <v>#REF!</v>
      </c>
      <c r="HS110" s="34" t="e">
        <f>AND(#REF!,"AAAAAHP2l+I=")</f>
        <v>#REF!</v>
      </c>
      <c r="HT110" s="34" t="e">
        <f>AND(#REF!,"AAAAAHP2l+M=")</f>
        <v>#REF!</v>
      </c>
      <c r="HU110" s="34" t="e">
        <f>AND(#REF!,"AAAAAHP2l+Q=")</f>
        <v>#REF!</v>
      </c>
      <c r="HV110" s="34" t="e">
        <f>AND(#REF!,"AAAAAHP2l+U=")</f>
        <v>#REF!</v>
      </c>
      <c r="HW110" s="34" t="e">
        <f>AND(#REF!,"AAAAAHP2l+Y=")</f>
        <v>#REF!</v>
      </c>
      <c r="HX110" s="34" t="e">
        <f>AND(#REF!,"AAAAAHP2l+c=")</f>
        <v>#REF!</v>
      </c>
      <c r="HY110" s="34" t="e">
        <f>AND(#REF!,"AAAAAHP2l+g=")</f>
        <v>#REF!</v>
      </c>
      <c r="HZ110" s="34" t="e">
        <f>AND(#REF!,"AAAAAHP2l+k=")</f>
        <v>#REF!</v>
      </c>
      <c r="IA110" s="34" t="e">
        <f>AND(#REF!,"AAAAAHP2l+o=")</f>
        <v>#REF!</v>
      </c>
      <c r="IB110" s="34" t="e">
        <f>AND(#REF!,"AAAAAHP2l+s=")</f>
        <v>#REF!</v>
      </c>
      <c r="IC110" s="34" t="e">
        <f>AND(#REF!,"AAAAAHP2l+w=")</f>
        <v>#REF!</v>
      </c>
      <c r="ID110" s="34" t="e">
        <f>IF(#REF!,"AAAAAHP2l+0=",0)</f>
        <v>#REF!</v>
      </c>
      <c r="IE110" s="34" t="e">
        <f>AND(#REF!,"AAAAAHP2l+4=")</f>
        <v>#REF!</v>
      </c>
      <c r="IF110" s="34" t="e">
        <f>AND(#REF!,"AAAAAHP2l+8=")</f>
        <v>#REF!</v>
      </c>
      <c r="IG110" s="34" t="e">
        <f>AND(#REF!,"AAAAAHP2l/A=")</f>
        <v>#REF!</v>
      </c>
      <c r="IH110" s="34" t="e">
        <f>AND(#REF!,"AAAAAHP2l/E=")</f>
        <v>#REF!</v>
      </c>
      <c r="II110" s="34" t="e">
        <f>AND(#REF!,"AAAAAHP2l/I=")</f>
        <v>#REF!</v>
      </c>
      <c r="IJ110" s="34" t="e">
        <f>AND(#REF!,"AAAAAHP2l/M=")</f>
        <v>#REF!</v>
      </c>
      <c r="IK110" s="34" t="e">
        <f>AND(#REF!,"AAAAAHP2l/Q=")</f>
        <v>#REF!</v>
      </c>
      <c r="IL110" s="34" t="e">
        <f>AND(#REF!,"AAAAAHP2l/U=")</f>
        <v>#REF!</v>
      </c>
      <c r="IM110" s="34" t="e">
        <f>AND(#REF!,"AAAAAHP2l/Y=")</f>
        <v>#REF!</v>
      </c>
      <c r="IN110" s="34" t="e">
        <f>AND(#REF!,"AAAAAHP2l/c=")</f>
        <v>#REF!</v>
      </c>
      <c r="IO110" s="34" t="e">
        <f>AND(#REF!,"AAAAAHP2l/g=")</f>
        <v>#REF!</v>
      </c>
      <c r="IP110" s="34" t="e">
        <f>AND(#REF!,"AAAAAHP2l/k=")</f>
        <v>#REF!</v>
      </c>
      <c r="IQ110" s="34" t="e">
        <f>AND(#REF!,"AAAAAHP2l/o=")</f>
        <v>#REF!</v>
      </c>
      <c r="IR110" s="34" t="e">
        <f>AND(#REF!,"AAAAAHP2l/s=")</f>
        <v>#REF!</v>
      </c>
      <c r="IS110" s="34" t="e">
        <f>AND(#REF!,"AAAAAHP2l/w=")</f>
        <v>#REF!</v>
      </c>
      <c r="IT110" s="34" t="e">
        <f>AND(#REF!,"AAAAAHP2l/0=")</f>
        <v>#REF!</v>
      </c>
      <c r="IU110" s="34" t="e">
        <f>IF(#REF!,"AAAAAHP2l/4=",0)</f>
        <v>#REF!</v>
      </c>
      <c r="IV110" s="34" t="e">
        <f>AND(#REF!,"AAAAAHP2l/8=")</f>
        <v>#REF!</v>
      </c>
    </row>
    <row r="111" spans="1:256" ht="12.75" customHeight="1" x14ac:dyDescent="0.2">
      <c r="A111" s="34" t="e">
        <f>AND(#REF!,"AAAAAGPf1wA=")</f>
        <v>#REF!</v>
      </c>
      <c r="B111" s="34" t="e">
        <f>AND(#REF!,"AAAAAGPf1wE=")</f>
        <v>#REF!</v>
      </c>
      <c r="C111" s="34" t="e">
        <f>AND(#REF!,"AAAAAGPf1wI=")</f>
        <v>#REF!</v>
      </c>
      <c r="D111" s="34" t="e">
        <f>AND(#REF!,"AAAAAGPf1wM=")</f>
        <v>#REF!</v>
      </c>
      <c r="E111" s="34" t="e">
        <f>AND(#REF!,"AAAAAGPf1wQ=")</f>
        <v>#REF!</v>
      </c>
      <c r="F111" s="34" t="e">
        <f>AND(#REF!,"AAAAAGPf1wU=")</f>
        <v>#REF!</v>
      </c>
      <c r="G111" s="34" t="e">
        <f>AND(#REF!,"AAAAAGPf1wY=")</f>
        <v>#REF!</v>
      </c>
      <c r="H111" s="34" t="e">
        <f>AND(#REF!,"AAAAAGPf1wc=")</f>
        <v>#REF!</v>
      </c>
      <c r="I111" s="34" t="e">
        <f>AND(#REF!,"AAAAAGPf1wg=")</f>
        <v>#REF!</v>
      </c>
      <c r="J111" s="34" t="e">
        <f>AND(#REF!,"AAAAAGPf1wk=")</f>
        <v>#REF!</v>
      </c>
      <c r="K111" s="34" t="e">
        <f>AND(#REF!,"AAAAAGPf1wo=")</f>
        <v>#REF!</v>
      </c>
      <c r="L111" s="34" t="e">
        <f>AND(#REF!,"AAAAAGPf1ws=")</f>
        <v>#REF!</v>
      </c>
      <c r="M111" s="34" t="e">
        <f>AND(#REF!,"AAAAAGPf1ww=")</f>
        <v>#REF!</v>
      </c>
      <c r="N111" s="34" t="e">
        <f>AND(#REF!,"AAAAAGPf1w0=")</f>
        <v>#REF!</v>
      </c>
      <c r="O111" s="34" t="e">
        <f>AND(#REF!,"AAAAAGPf1w4=")</f>
        <v>#REF!</v>
      </c>
      <c r="P111" s="34" t="e">
        <f>IF(#REF!,"AAAAAGPf1w8=",0)</f>
        <v>#REF!</v>
      </c>
      <c r="Q111" s="34" t="e">
        <f>AND(#REF!,"AAAAAGPf1xA=")</f>
        <v>#REF!</v>
      </c>
      <c r="R111" s="34" t="e">
        <f>AND(#REF!,"AAAAAGPf1xE=")</f>
        <v>#REF!</v>
      </c>
      <c r="S111" s="34" t="e">
        <f>AND(#REF!,"AAAAAGPf1xI=")</f>
        <v>#REF!</v>
      </c>
      <c r="T111" s="34" t="e">
        <f>AND(#REF!,"AAAAAGPf1xM=")</f>
        <v>#REF!</v>
      </c>
      <c r="U111" s="34" t="e">
        <f>AND(#REF!,"AAAAAGPf1xQ=")</f>
        <v>#REF!</v>
      </c>
      <c r="V111" s="34" t="e">
        <f>AND(#REF!,"AAAAAGPf1xU=")</f>
        <v>#REF!</v>
      </c>
      <c r="W111" s="34" t="e">
        <f>AND(#REF!,"AAAAAGPf1xY=")</f>
        <v>#REF!</v>
      </c>
      <c r="X111" s="34" t="e">
        <f>AND(#REF!,"AAAAAGPf1xc=")</f>
        <v>#REF!</v>
      </c>
      <c r="Y111" s="34" t="e">
        <f>AND(#REF!,"AAAAAGPf1xg=")</f>
        <v>#REF!</v>
      </c>
      <c r="Z111" s="34" t="e">
        <f>AND(#REF!,"AAAAAGPf1xk=")</f>
        <v>#REF!</v>
      </c>
      <c r="AA111" s="34" t="e">
        <f>AND(#REF!,"AAAAAGPf1xo=")</f>
        <v>#REF!</v>
      </c>
      <c r="AB111" s="34" t="e">
        <f>AND(#REF!,"AAAAAGPf1xs=")</f>
        <v>#REF!</v>
      </c>
      <c r="AC111" s="34" t="e">
        <f>AND(#REF!,"AAAAAGPf1xw=")</f>
        <v>#REF!</v>
      </c>
      <c r="AD111" s="34" t="e">
        <f>AND(#REF!,"AAAAAGPf1x0=")</f>
        <v>#REF!</v>
      </c>
      <c r="AE111" s="34" t="e">
        <f>AND(#REF!,"AAAAAGPf1x4=")</f>
        <v>#REF!</v>
      </c>
      <c r="AF111" s="34" t="e">
        <f>AND(#REF!,"AAAAAGPf1x8=")</f>
        <v>#REF!</v>
      </c>
      <c r="AG111" s="34" t="e">
        <f>IF(#REF!,"AAAAAGPf1yA=",0)</f>
        <v>#REF!</v>
      </c>
      <c r="AH111" s="34" t="e">
        <f>AND(#REF!,"AAAAAGPf1yE=")</f>
        <v>#REF!</v>
      </c>
      <c r="AI111" s="34" t="e">
        <f>AND(#REF!,"AAAAAGPf1yI=")</f>
        <v>#REF!</v>
      </c>
      <c r="AJ111" s="34" t="e">
        <f>AND(#REF!,"AAAAAGPf1yM=")</f>
        <v>#REF!</v>
      </c>
      <c r="AK111" s="34" t="e">
        <f>AND(#REF!,"AAAAAGPf1yQ=")</f>
        <v>#REF!</v>
      </c>
      <c r="AL111" s="34" t="e">
        <f>AND(#REF!,"AAAAAGPf1yU=")</f>
        <v>#REF!</v>
      </c>
      <c r="AM111" s="34" t="e">
        <f>AND(#REF!,"AAAAAGPf1yY=")</f>
        <v>#REF!</v>
      </c>
      <c r="AN111" s="34" t="e">
        <f>AND(#REF!,"AAAAAGPf1yc=")</f>
        <v>#REF!</v>
      </c>
      <c r="AO111" s="34" t="e">
        <f>AND(#REF!,"AAAAAGPf1yg=")</f>
        <v>#REF!</v>
      </c>
      <c r="AP111" s="34" t="e">
        <f>AND(#REF!,"AAAAAGPf1yk=")</f>
        <v>#REF!</v>
      </c>
      <c r="AQ111" s="34" t="e">
        <f>AND(#REF!,"AAAAAGPf1yo=")</f>
        <v>#REF!</v>
      </c>
      <c r="AR111" s="34" t="e">
        <f>AND(#REF!,"AAAAAGPf1ys=")</f>
        <v>#REF!</v>
      </c>
      <c r="AS111" s="34" t="e">
        <f>AND(#REF!,"AAAAAGPf1yw=")</f>
        <v>#REF!</v>
      </c>
      <c r="AT111" s="34" t="e">
        <f>AND(#REF!,"AAAAAGPf1y0=")</f>
        <v>#REF!</v>
      </c>
      <c r="AU111" s="34" t="e">
        <f>AND(#REF!,"AAAAAGPf1y4=")</f>
        <v>#REF!</v>
      </c>
      <c r="AV111" s="34" t="e">
        <f>AND(#REF!,"AAAAAGPf1y8=")</f>
        <v>#REF!</v>
      </c>
      <c r="AW111" s="34" t="e">
        <f>AND(#REF!,"AAAAAGPf1zA=")</f>
        <v>#REF!</v>
      </c>
      <c r="AX111" s="34" t="e">
        <f>IF(#REF!,"AAAAAGPf1zE=",0)</f>
        <v>#REF!</v>
      </c>
      <c r="AY111" s="34" t="e">
        <f>AND(#REF!,"AAAAAGPf1zI=")</f>
        <v>#REF!</v>
      </c>
      <c r="AZ111" s="34" t="e">
        <f>AND(#REF!,"AAAAAGPf1zM=")</f>
        <v>#REF!</v>
      </c>
      <c r="BA111" s="34" t="e">
        <f>AND(#REF!,"AAAAAGPf1zQ=")</f>
        <v>#REF!</v>
      </c>
      <c r="BB111" s="34" t="e">
        <f>AND(#REF!,"AAAAAGPf1zU=")</f>
        <v>#REF!</v>
      </c>
      <c r="BC111" s="34" t="e">
        <f>AND(#REF!,"AAAAAGPf1zY=")</f>
        <v>#REF!</v>
      </c>
      <c r="BD111" s="34" t="e">
        <f>AND(#REF!,"AAAAAGPf1zc=")</f>
        <v>#REF!</v>
      </c>
      <c r="BE111" s="34" t="e">
        <f>AND(#REF!,"AAAAAGPf1zg=")</f>
        <v>#REF!</v>
      </c>
      <c r="BF111" s="34" t="e">
        <f>AND(#REF!,"AAAAAGPf1zk=")</f>
        <v>#REF!</v>
      </c>
      <c r="BG111" s="34" t="e">
        <f>AND(#REF!,"AAAAAGPf1zo=")</f>
        <v>#REF!</v>
      </c>
      <c r="BH111" s="34" t="e">
        <f>AND(#REF!,"AAAAAGPf1zs=")</f>
        <v>#REF!</v>
      </c>
      <c r="BI111" s="34" t="e">
        <f>AND(#REF!,"AAAAAGPf1zw=")</f>
        <v>#REF!</v>
      </c>
      <c r="BJ111" s="34" t="e">
        <f>AND(#REF!,"AAAAAGPf1z0=")</f>
        <v>#REF!</v>
      </c>
      <c r="BK111" s="34" t="e">
        <f>AND(#REF!,"AAAAAGPf1z4=")</f>
        <v>#REF!</v>
      </c>
      <c r="BL111" s="34" t="e">
        <f>AND(#REF!,"AAAAAGPf1z8=")</f>
        <v>#REF!</v>
      </c>
      <c r="BM111" s="34" t="e">
        <f>AND(#REF!,"AAAAAGPf10A=")</f>
        <v>#REF!</v>
      </c>
      <c r="BN111" s="34" t="e">
        <f>AND(#REF!,"AAAAAGPf10E=")</f>
        <v>#REF!</v>
      </c>
      <c r="BO111" s="34" t="e">
        <f>IF(#REF!,"AAAAAGPf10I=",0)</f>
        <v>#REF!</v>
      </c>
      <c r="BP111" s="34" t="e">
        <f>AND(#REF!,"AAAAAGPf10M=")</f>
        <v>#REF!</v>
      </c>
      <c r="BQ111" s="34" t="e">
        <f>AND(#REF!,"AAAAAGPf10Q=")</f>
        <v>#REF!</v>
      </c>
      <c r="BR111" s="34" t="e">
        <f>AND(#REF!,"AAAAAGPf10U=")</f>
        <v>#REF!</v>
      </c>
      <c r="BS111" s="34" t="e">
        <f>AND(#REF!,"AAAAAGPf10Y=")</f>
        <v>#REF!</v>
      </c>
      <c r="BT111" s="34" t="e">
        <f>AND(#REF!,"AAAAAGPf10c=")</f>
        <v>#REF!</v>
      </c>
      <c r="BU111" s="34" t="e">
        <f>AND(#REF!,"AAAAAGPf10g=")</f>
        <v>#REF!</v>
      </c>
      <c r="BV111" s="34" t="e">
        <f>AND(#REF!,"AAAAAGPf10k=")</f>
        <v>#REF!</v>
      </c>
      <c r="BW111" s="34" t="e">
        <f>AND(#REF!,"AAAAAGPf10o=")</f>
        <v>#REF!</v>
      </c>
      <c r="BX111" s="34" t="e">
        <f>AND(#REF!,"AAAAAGPf10s=")</f>
        <v>#REF!</v>
      </c>
      <c r="BY111" s="34" t="e">
        <f>AND(#REF!,"AAAAAGPf10w=")</f>
        <v>#REF!</v>
      </c>
      <c r="BZ111" s="34" t="e">
        <f>AND(#REF!,"AAAAAGPf100=")</f>
        <v>#REF!</v>
      </c>
      <c r="CA111" s="34" t="e">
        <f>AND(#REF!,"AAAAAGPf104=")</f>
        <v>#REF!</v>
      </c>
      <c r="CB111" s="34" t="e">
        <f>AND(#REF!,"AAAAAGPf108=")</f>
        <v>#REF!</v>
      </c>
      <c r="CC111" s="34" t="e">
        <f>AND(#REF!,"AAAAAGPf11A=")</f>
        <v>#REF!</v>
      </c>
      <c r="CD111" s="34" t="e">
        <f>AND(#REF!,"AAAAAGPf11E=")</f>
        <v>#REF!</v>
      </c>
      <c r="CE111" s="34" t="e">
        <f>AND(#REF!,"AAAAAGPf11I=")</f>
        <v>#REF!</v>
      </c>
      <c r="CF111" s="34" t="e">
        <f>IF(#REF!,"AAAAAGPf11M=",0)</f>
        <v>#REF!</v>
      </c>
      <c r="CG111" s="34" t="e">
        <f>AND(#REF!,"AAAAAGPf11Q=")</f>
        <v>#REF!</v>
      </c>
      <c r="CH111" s="34" t="e">
        <f>AND(#REF!,"AAAAAGPf11U=")</f>
        <v>#REF!</v>
      </c>
      <c r="CI111" s="34" t="e">
        <f>AND(#REF!,"AAAAAGPf11Y=")</f>
        <v>#REF!</v>
      </c>
      <c r="CJ111" s="34" t="e">
        <f>AND(#REF!,"AAAAAGPf11c=")</f>
        <v>#REF!</v>
      </c>
      <c r="CK111" s="34" t="e">
        <f>AND(#REF!,"AAAAAGPf11g=")</f>
        <v>#REF!</v>
      </c>
      <c r="CL111" s="34" t="e">
        <f>AND(#REF!,"AAAAAGPf11k=")</f>
        <v>#REF!</v>
      </c>
      <c r="CM111" s="34" t="e">
        <f>AND(#REF!,"AAAAAGPf11o=")</f>
        <v>#REF!</v>
      </c>
      <c r="CN111" s="34" t="e">
        <f>AND(#REF!,"AAAAAGPf11s=")</f>
        <v>#REF!</v>
      </c>
      <c r="CO111" s="34" t="e">
        <f>AND(#REF!,"AAAAAGPf11w=")</f>
        <v>#REF!</v>
      </c>
      <c r="CP111" s="34" t="e">
        <f>AND(#REF!,"AAAAAGPf110=")</f>
        <v>#REF!</v>
      </c>
      <c r="CQ111" s="34" t="e">
        <f>AND(#REF!,"AAAAAGPf114=")</f>
        <v>#REF!</v>
      </c>
      <c r="CR111" s="34" t="e">
        <f>AND(#REF!,"AAAAAGPf118=")</f>
        <v>#REF!</v>
      </c>
      <c r="CS111" s="34" t="e">
        <f>AND(#REF!,"AAAAAGPf12A=")</f>
        <v>#REF!</v>
      </c>
      <c r="CT111" s="34" t="e">
        <f>AND(#REF!,"AAAAAGPf12E=")</f>
        <v>#REF!</v>
      </c>
      <c r="CU111" s="34" t="e">
        <f>AND(#REF!,"AAAAAGPf12I=")</f>
        <v>#REF!</v>
      </c>
      <c r="CV111" s="34" t="e">
        <f>AND(#REF!,"AAAAAGPf12M=")</f>
        <v>#REF!</v>
      </c>
      <c r="CW111" s="34" t="e">
        <f>IF(#REF!,"AAAAAGPf12Q=",0)</f>
        <v>#REF!</v>
      </c>
      <c r="CX111" s="34" t="e">
        <f>AND(#REF!,"AAAAAGPf12U=")</f>
        <v>#REF!</v>
      </c>
      <c r="CY111" s="34" t="e">
        <f>AND(#REF!,"AAAAAGPf12Y=")</f>
        <v>#REF!</v>
      </c>
      <c r="CZ111" s="34" t="e">
        <f>AND(#REF!,"AAAAAGPf12c=")</f>
        <v>#REF!</v>
      </c>
      <c r="DA111" s="34" t="e">
        <f>AND(#REF!,"AAAAAGPf12g=")</f>
        <v>#REF!</v>
      </c>
      <c r="DB111" s="34" t="e">
        <f>AND(#REF!,"AAAAAGPf12k=")</f>
        <v>#REF!</v>
      </c>
      <c r="DC111" s="34" t="e">
        <f>AND(#REF!,"AAAAAGPf12o=")</f>
        <v>#REF!</v>
      </c>
      <c r="DD111" s="34" t="e">
        <f>AND(#REF!,"AAAAAGPf12s=")</f>
        <v>#REF!</v>
      </c>
      <c r="DE111" s="34" t="e">
        <f>AND(#REF!,"AAAAAGPf12w=")</f>
        <v>#REF!</v>
      </c>
      <c r="DF111" s="34" t="e">
        <f>AND(#REF!,"AAAAAGPf120=")</f>
        <v>#REF!</v>
      </c>
      <c r="DG111" s="34" t="e">
        <f>AND(#REF!,"AAAAAGPf124=")</f>
        <v>#REF!</v>
      </c>
      <c r="DH111" s="34" t="e">
        <f>AND(#REF!,"AAAAAGPf128=")</f>
        <v>#REF!</v>
      </c>
      <c r="DI111" s="34" t="e">
        <f>AND(#REF!,"AAAAAGPf13A=")</f>
        <v>#REF!</v>
      </c>
      <c r="DJ111" s="34" t="e">
        <f>AND(#REF!,"AAAAAGPf13E=")</f>
        <v>#REF!</v>
      </c>
      <c r="DK111" s="34" t="e">
        <f>AND(#REF!,"AAAAAGPf13I=")</f>
        <v>#REF!</v>
      </c>
      <c r="DL111" s="34" t="e">
        <f>AND(#REF!,"AAAAAGPf13M=")</f>
        <v>#REF!</v>
      </c>
      <c r="DM111" s="34" t="e">
        <f>AND(#REF!,"AAAAAGPf13Q=")</f>
        <v>#REF!</v>
      </c>
      <c r="DN111" s="34" t="e">
        <f>IF(#REF!,"AAAAAGPf13U=",0)</f>
        <v>#REF!</v>
      </c>
      <c r="DO111" s="34" t="e">
        <f>AND(#REF!,"AAAAAGPf13Y=")</f>
        <v>#REF!</v>
      </c>
      <c r="DP111" s="34" t="e">
        <f>AND(#REF!,"AAAAAGPf13c=")</f>
        <v>#REF!</v>
      </c>
      <c r="DQ111" s="34" t="e">
        <f>AND(#REF!,"AAAAAGPf13g=")</f>
        <v>#REF!</v>
      </c>
      <c r="DR111" s="34" t="e">
        <f>AND(#REF!,"AAAAAGPf13k=")</f>
        <v>#REF!</v>
      </c>
      <c r="DS111" s="34" t="e">
        <f>AND(#REF!,"AAAAAGPf13o=")</f>
        <v>#REF!</v>
      </c>
      <c r="DT111" s="34" t="e">
        <f>AND(#REF!,"AAAAAGPf13s=")</f>
        <v>#REF!</v>
      </c>
      <c r="DU111" s="34" t="e">
        <f>AND(#REF!,"AAAAAGPf13w=")</f>
        <v>#REF!</v>
      </c>
      <c r="DV111" s="34" t="e">
        <f>AND(#REF!,"AAAAAGPf130=")</f>
        <v>#REF!</v>
      </c>
      <c r="DW111" s="34" t="e">
        <f>AND(#REF!,"AAAAAGPf134=")</f>
        <v>#REF!</v>
      </c>
      <c r="DX111" s="34" t="e">
        <f>AND(#REF!,"AAAAAGPf138=")</f>
        <v>#REF!</v>
      </c>
      <c r="DY111" s="34" t="e">
        <f>AND(#REF!,"AAAAAGPf14A=")</f>
        <v>#REF!</v>
      </c>
      <c r="DZ111" s="34" t="e">
        <f>AND(#REF!,"AAAAAGPf14E=")</f>
        <v>#REF!</v>
      </c>
      <c r="EA111" s="34" t="e">
        <f>AND(#REF!,"AAAAAGPf14I=")</f>
        <v>#REF!</v>
      </c>
      <c r="EB111" s="34" t="e">
        <f>AND(#REF!,"AAAAAGPf14M=")</f>
        <v>#REF!</v>
      </c>
      <c r="EC111" s="34" t="e">
        <f>AND(#REF!,"AAAAAGPf14Q=")</f>
        <v>#REF!</v>
      </c>
      <c r="ED111" s="34" t="e">
        <f>AND(#REF!,"AAAAAGPf14U=")</f>
        <v>#REF!</v>
      </c>
      <c r="EE111" s="34" t="e">
        <f>IF(#REF!,"AAAAAGPf14Y=",0)</f>
        <v>#REF!</v>
      </c>
      <c r="EF111" s="34" t="e">
        <f>AND(#REF!,"AAAAAGPf14c=")</f>
        <v>#REF!</v>
      </c>
      <c r="EG111" s="34" t="e">
        <f>AND(#REF!,"AAAAAGPf14g=")</f>
        <v>#REF!</v>
      </c>
      <c r="EH111" s="34" t="e">
        <f>AND(#REF!,"AAAAAGPf14k=")</f>
        <v>#REF!</v>
      </c>
      <c r="EI111" s="34" t="e">
        <f>AND(#REF!,"AAAAAGPf14o=")</f>
        <v>#REF!</v>
      </c>
      <c r="EJ111" s="34" t="e">
        <f>AND(#REF!,"AAAAAGPf14s=")</f>
        <v>#REF!</v>
      </c>
      <c r="EK111" s="34" t="e">
        <f>AND(#REF!,"AAAAAGPf14w=")</f>
        <v>#REF!</v>
      </c>
      <c r="EL111" s="34" t="e">
        <f>AND(#REF!,"AAAAAGPf140=")</f>
        <v>#REF!</v>
      </c>
      <c r="EM111" s="34" t="e">
        <f>AND(#REF!,"AAAAAGPf144=")</f>
        <v>#REF!</v>
      </c>
      <c r="EN111" s="34" t="e">
        <f>AND(#REF!,"AAAAAGPf148=")</f>
        <v>#REF!</v>
      </c>
      <c r="EO111" s="34" t="e">
        <f>AND(#REF!,"AAAAAGPf15A=")</f>
        <v>#REF!</v>
      </c>
      <c r="EP111" s="34" t="e">
        <f>AND(#REF!,"AAAAAGPf15E=")</f>
        <v>#REF!</v>
      </c>
      <c r="EQ111" s="34" t="e">
        <f>AND(#REF!,"AAAAAGPf15I=")</f>
        <v>#REF!</v>
      </c>
      <c r="ER111" s="34" t="e">
        <f>AND(#REF!,"AAAAAGPf15M=")</f>
        <v>#REF!</v>
      </c>
      <c r="ES111" s="34" t="e">
        <f>AND(#REF!,"AAAAAGPf15Q=")</f>
        <v>#REF!</v>
      </c>
      <c r="ET111" s="34" t="e">
        <f>AND(#REF!,"AAAAAGPf15U=")</f>
        <v>#REF!</v>
      </c>
      <c r="EU111" s="34" t="e">
        <f>AND(#REF!,"AAAAAGPf15Y=")</f>
        <v>#REF!</v>
      </c>
      <c r="EV111" s="34" t="e">
        <f>IF(#REF!,"AAAAAGPf15c=",0)</f>
        <v>#REF!</v>
      </c>
      <c r="EW111" s="34" t="e">
        <f>AND(#REF!,"AAAAAGPf15g=")</f>
        <v>#REF!</v>
      </c>
      <c r="EX111" s="34" t="e">
        <f>AND(#REF!,"AAAAAGPf15k=")</f>
        <v>#REF!</v>
      </c>
      <c r="EY111" s="34" t="e">
        <f>AND(#REF!,"AAAAAGPf15o=")</f>
        <v>#REF!</v>
      </c>
      <c r="EZ111" s="34" t="e">
        <f>AND(#REF!,"AAAAAGPf15s=")</f>
        <v>#REF!</v>
      </c>
      <c r="FA111" s="34" t="e">
        <f>AND(#REF!,"AAAAAGPf15w=")</f>
        <v>#REF!</v>
      </c>
      <c r="FB111" s="34" t="e">
        <f>AND(#REF!,"AAAAAGPf150=")</f>
        <v>#REF!</v>
      </c>
      <c r="FC111" s="34" t="e">
        <f>AND(#REF!,"AAAAAGPf154=")</f>
        <v>#REF!</v>
      </c>
      <c r="FD111" s="34" t="e">
        <f>AND(#REF!,"AAAAAGPf158=")</f>
        <v>#REF!</v>
      </c>
      <c r="FE111" s="34" t="e">
        <f>AND(#REF!,"AAAAAGPf16A=")</f>
        <v>#REF!</v>
      </c>
      <c r="FF111" s="34" t="e">
        <f>AND(#REF!,"AAAAAGPf16E=")</f>
        <v>#REF!</v>
      </c>
      <c r="FG111" s="34" t="e">
        <f>AND(#REF!,"AAAAAGPf16I=")</f>
        <v>#REF!</v>
      </c>
      <c r="FH111" s="34" t="e">
        <f>AND(#REF!,"AAAAAGPf16M=")</f>
        <v>#REF!</v>
      </c>
      <c r="FI111" s="34" t="e">
        <f>AND(#REF!,"AAAAAGPf16Q=")</f>
        <v>#REF!</v>
      </c>
      <c r="FJ111" s="34" t="e">
        <f>AND(#REF!,"AAAAAGPf16U=")</f>
        <v>#REF!</v>
      </c>
      <c r="FK111" s="34" t="e">
        <f>AND(#REF!,"AAAAAGPf16Y=")</f>
        <v>#REF!</v>
      </c>
      <c r="FL111" s="34" t="e">
        <f>AND(#REF!,"AAAAAGPf16c=")</f>
        <v>#REF!</v>
      </c>
      <c r="FM111" s="34" t="e">
        <f>IF(#REF!,"AAAAAGPf16g=",0)</f>
        <v>#REF!</v>
      </c>
      <c r="FN111" s="34" t="e">
        <f>AND(#REF!,"AAAAAGPf16k=")</f>
        <v>#REF!</v>
      </c>
      <c r="FO111" s="34" t="e">
        <f>AND(#REF!,"AAAAAGPf16o=")</f>
        <v>#REF!</v>
      </c>
      <c r="FP111" s="34" t="e">
        <f>AND(#REF!,"AAAAAGPf16s=")</f>
        <v>#REF!</v>
      </c>
      <c r="FQ111" s="34" t="e">
        <f>AND(#REF!,"AAAAAGPf16w=")</f>
        <v>#REF!</v>
      </c>
      <c r="FR111" s="34" t="e">
        <f>AND(#REF!,"AAAAAGPf160=")</f>
        <v>#REF!</v>
      </c>
      <c r="FS111" s="34" t="e">
        <f>AND(#REF!,"AAAAAGPf164=")</f>
        <v>#REF!</v>
      </c>
      <c r="FT111" s="34" t="e">
        <f>AND(#REF!,"AAAAAGPf168=")</f>
        <v>#REF!</v>
      </c>
      <c r="FU111" s="34" t="e">
        <f>AND(#REF!,"AAAAAGPf17A=")</f>
        <v>#REF!</v>
      </c>
      <c r="FV111" s="34" t="e">
        <f>AND(#REF!,"AAAAAGPf17E=")</f>
        <v>#REF!</v>
      </c>
      <c r="FW111" s="34" t="e">
        <f>AND(#REF!,"AAAAAGPf17I=")</f>
        <v>#REF!</v>
      </c>
      <c r="FX111" s="34" t="e">
        <f>AND(#REF!,"AAAAAGPf17M=")</f>
        <v>#REF!</v>
      </c>
      <c r="FY111" s="34" t="e">
        <f>AND(#REF!,"AAAAAGPf17Q=")</f>
        <v>#REF!</v>
      </c>
      <c r="FZ111" s="34" t="e">
        <f>AND(#REF!,"AAAAAGPf17U=")</f>
        <v>#REF!</v>
      </c>
      <c r="GA111" s="34" t="e">
        <f>AND(#REF!,"AAAAAGPf17Y=")</f>
        <v>#REF!</v>
      </c>
      <c r="GB111" s="34" t="e">
        <f>AND(#REF!,"AAAAAGPf17c=")</f>
        <v>#REF!</v>
      </c>
      <c r="GC111" s="34" t="e">
        <f>AND(#REF!,"AAAAAGPf17g=")</f>
        <v>#REF!</v>
      </c>
      <c r="GD111" s="34" t="e">
        <f>IF(#REF!,"AAAAAGPf17k=",0)</f>
        <v>#REF!</v>
      </c>
      <c r="GE111" s="34" t="e">
        <f>AND(#REF!,"AAAAAGPf17o=")</f>
        <v>#REF!</v>
      </c>
      <c r="GF111" s="34" t="e">
        <f>AND(#REF!,"AAAAAGPf17s=")</f>
        <v>#REF!</v>
      </c>
      <c r="GG111" s="34" t="e">
        <f>AND(#REF!,"AAAAAGPf17w=")</f>
        <v>#REF!</v>
      </c>
      <c r="GH111" s="34" t="e">
        <f>AND(#REF!,"AAAAAGPf170=")</f>
        <v>#REF!</v>
      </c>
      <c r="GI111" s="34" t="e">
        <f>AND(#REF!,"AAAAAGPf174=")</f>
        <v>#REF!</v>
      </c>
      <c r="GJ111" s="34" t="e">
        <f>AND(#REF!,"AAAAAGPf178=")</f>
        <v>#REF!</v>
      </c>
      <c r="GK111" s="34" t="e">
        <f>AND(#REF!,"AAAAAGPf18A=")</f>
        <v>#REF!</v>
      </c>
      <c r="GL111" s="34" t="e">
        <f>AND(#REF!,"AAAAAGPf18E=")</f>
        <v>#REF!</v>
      </c>
      <c r="GM111" s="34" t="e">
        <f>AND(#REF!,"AAAAAGPf18I=")</f>
        <v>#REF!</v>
      </c>
      <c r="GN111" s="34" t="e">
        <f>AND(#REF!,"AAAAAGPf18M=")</f>
        <v>#REF!</v>
      </c>
      <c r="GO111" s="34" t="e">
        <f>AND(#REF!,"AAAAAGPf18Q=")</f>
        <v>#REF!</v>
      </c>
      <c r="GP111" s="34" t="e">
        <f>AND(#REF!,"AAAAAGPf18U=")</f>
        <v>#REF!</v>
      </c>
      <c r="GQ111" s="34" t="e">
        <f>AND(#REF!,"AAAAAGPf18Y=")</f>
        <v>#REF!</v>
      </c>
      <c r="GR111" s="34" t="e">
        <f>AND(#REF!,"AAAAAGPf18c=")</f>
        <v>#REF!</v>
      </c>
      <c r="GS111" s="34" t="e">
        <f>AND(#REF!,"AAAAAGPf18g=")</f>
        <v>#REF!</v>
      </c>
      <c r="GT111" s="34" t="e">
        <f>AND(#REF!,"AAAAAGPf18k=")</f>
        <v>#REF!</v>
      </c>
      <c r="GU111" s="34" t="e">
        <f>IF(#REF!,"AAAAAGPf18o=",0)</f>
        <v>#REF!</v>
      </c>
      <c r="GV111" s="34" t="e">
        <f>AND(#REF!,"AAAAAGPf18s=")</f>
        <v>#REF!</v>
      </c>
      <c r="GW111" s="34" t="e">
        <f>AND(#REF!,"AAAAAGPf18w=")</f>
        <v>#REF!</v>
      </c>
      <c r="GX111" s="34" t="e">
        <f>AND(#REF!,"AAAAAGPf180=")</f>
        <v>#REF!</v>
      </c>
      <c r="GY111" s="34" t="e">
        <f>AND(#REF!,"AAAAAGPf184=")</f>
        <v>#REF!</v>
      </c>
      <c r="GZ111" s="34" t="e">
        <f>AND(#REF!,"AAAAAGPf188=")</f>
        <v>#REF!</v>
      </c>
      <c r="HA111" s="34" t="e">
        <f>AND(#REF!,"AAAAAGPf19A=")</f>
        <v>#REF!</v>
      </c>
      <c r="HB111" s="34" t="e">
        <f>AND(#REF!,"AAAAAGPf19E=")</f>
        <v>#REF!</v>
      </c>
      <c r="HC111" s="34" t="e">
        <f>AND(#REF!,"AAAAAGPf19I=")</f>
        <v>#REF!</v>
      </c>
      <c r="HD111" s="34" t="e">
        <f>AND(#REF!,"AAAAAGPf19M=")</f>
        <v>#REF!</v>
      </c>
      <c r="HE111" s="34" t="e">
        <f>AND(#REF!,"AAAAAGPf19Q=")</f>
        <v>#REF!</v>
      </c>
      <c r="HF111" s="34" t="e">
        <f>AND(#REF!,"AAAAAGPf19U=")</f>
        <v>#REF!</v>
      </c>
      <c r="HG111" s="34" t="e">
        <f>AND(#REF!,"AAAAAGPf19Y=")</f>
        <v>#REF!</v>
      </c>
      <c r="HH111" s="34" t="e">
        <f>AND(#REF!,"AAAAAGPf19c=")</f>
        <v>#REF!</v>
      </c>
      <c r="HI111" s="34" t="e">
        <f>AND(#REF!,"AAAAAGPf19g=")</f>
        <v>#REF!</v>
      </c>
      <c r="HJ111" s="34" t="e">
        <f>AND(#REF!,"AAAAAGPf19k=")</f>
        <v>#REF!</v>
      </c>
      <c r="HK111" s="34" t="e">
        <f>AND(#REF!,"AAAAAGPf19o=")</f>
        <v>#REF!</v>
      </c>
      <c r="HL111" s="34" t="e">
        <f>IF(#REF!,"AAAAAGPf19s=",0)</f>
        <v>#REF!</v>
      </c>
      <c r="HM111" s="34" t="e">
        <f>AND(#REF!,"AAAAAGPf19w=")</f>
        <v>#REF!</v>
      </c>
      <c r="HN111" s="34" t="e">
        <f>AND(#REF!,"AAAAAGPf190=")</f>
        <v>#REF!</v>
      </c>
      <c r="HO111" s="34" t="e">
        <f>AND(#REF!,"AAAAAGPf194=")</f>
        <v>#REF!</v>
      </c>
      <c r="HP111" s="34" t="e">
        <f>AND(#REF!,"AAAAAGPf198=")</f>
        <v>#REF!</v>
      </c>
      <c r="HQ111" s="34" t="e">
        <f>AND(#REF!,"AAAAAGPf1+A=")</f>
        <v>#REF!</v>
      </c>
      <c r="HR111" s="34" t="e">
        <f>AND(#REF!,"AAAAAGPf1+E=")</f>
        <v>#REF!</v>
      </c>
      <c r="HS111" s="34" t="e">
        <f>AND(#REF!,"AAAAAGPf1+I=")</f>
        <v>#REF!</v>
      </c>
      <c r="HT111" s="34" t="e">
        <f>AND(#REF!,"AAAAAGPf1+M=")</f>
        <v>#REF!</v>
      </c>
      <c r="HU111" s="34" t="e">
        <f>AND(#REF!,"AAAAAGPf1+Q=")</f>
        <v>#REF!</v>
      </c>
      <c r="HV111" s="34" t="e">
        <f>AND(#REF!,"AAAAAGPf1+U=")</f>
        <v>#REF!</v>
      </c>
      <c r="HW111" s="34" t="e">
        <f>AND(#REF!,"AAAAAGPf1+Y=")</f>
        <v>#REF!</v>
      </c>
      <c r="HX111" s="34" t="e">
        <f>AND(#REF!,"AAAAAGPf1+c=")</f>
        <v>#REF!</v>
      </c>
      <c r="HY111" s="34" t="e">
        <f>AND(#REF!,"AAAAAGPf1+g=")</f>
        <v>#REF!</v>
      </c>
      <c r="HZ111" s="34" t="e">
        <f>AND(#REF!,"AAAAAGPf1+k=")</f>
        <v>#REF!</v>
      </c>
      <c r="IA111" s="34" t="e">
        <f>AND(#REF!,"AAAAAGPf1+o=")</f>
        <v>#REF!</v>
      </c>
      <c r="IB111" s="34" t="e">
        <f>AND(#REF!,"AAAAAGPf1+s=")</f>
        <v>#REF!</v>
      </c>
      <c r="IC111" s="34" t="e">
        <f>IF(#REF!,"AAAAAGPf1+w=",0)</f>
        <v>#REF!</v>
      </c>
      <c r="ID111" s="34" t="e">
        <f>AND(#REF!,"AAAAAGPf1+0=")</f>
        <v>#REF!</v>
      </c>
      <c r="IE111" s="34" t="e">
        <f>AND(#REF!,"AAAAAGPf1+4=")</f>
        <v>#REF!</v>
      </c>
      <c r="IF111" s="34" t="e">
        <f>AND(#REF!,"AAAAAGPf1+8=")</f>
        <v>#REF!</v>
      </c>
      <c r="IG111" s="34" t="e">
        <f>AND(#REF!,"AAAAAGPf1/A=")</f>
        <v>#REF!</v>
      </c>
      <c r="IH111" s="34" t="e">
        <f>AND(#REF!,"AAAAAGPf1/E=")</f>
        <v>#REF!</v>
      </c>
      <c r="II111" s="34" t="e">
        <f>AND(#REF!,"AAAAAGPf1/I=")</f>
        <v>#REF!</v>
      </c>
      <c r="IJ111" s="34" t="e">
        <f>AND(#REF!,"AAAAAGPf1/M=")</f>
        <v>#REF!</v>
      </c>
      <c r="IK111" s="34" t="e">
        <f>AND(#REF!,"AAAAAGPf1/Q=")</f>
        <v>#REF!</v>
      </c>
      <c r="IL111" s="34" t="e">
        <f>AND(#REF!,"AAAAAGPf1/U=")</f>
        <v>#REF!</v>
      </c>
      <c r="IM111" s="34" t="e">
        <f>AND(#REF!,"AAAAAGPf1/Y=")</f>
        <v>#REF!</v>
      </c>
      <c r="IN111" s="34" t="e">
        <f>AND(#REF!,"AAAAAGPf1/c=")</f>
        <v>#REF!</v>
      </c>
      <c r="IO111" s="34" t="e">
        <f>AND(#REF!,"AAAAAGPf1/g=")</f>
        <v>#REF!</v>
      </c>
      <c r="IP111" s="34" t="e">
        <f>AND(#REF!,"AAAAAGPf1/k=")</f>
        <v>#REF!</v>
      </c>
      <c r="IQ111" s="34" t="e">
        <f>AND(#REF!,"AAAAAGPf1/o=")</f>
        <v>#REF!</v>
      </c>
      <c r="IR111" s="34" t="e">
        <f>AND(#REF!,"AAAAAGPf1/s=")</f>
        <v>#REF!</v>
      </c>
      <c r="IS111" s="34" t="e">
        <f>AND(#REF!,"AAAAAGPf1/w=")</f>
        <v>#REF!</v>
      </c>
      <c r="IT111" s="34" t="e">
        <f>IF(#REF!,"AAAAAGPf1/0=",0)</f>
        <v>#REF!</v>
      </c>
      <c r="IU111" s="34" t="e">
        <f>AND(#REF!,"AAAAAGPf1/4=")</f>
        <v>#REF!</v>
      </c>
      <c r="IV111" s="34" t="e">
        <f>AND(#REF!,"AAAAAGPf1/8=")</f>
        <v>#REF!</v>
      </c>
    </row>
    <row r="112" spans="1:256" ht="12.75" customHeight="1" x14ac:dyDescent="0.2">
      <c r="A112" s="34" t="e">
        <f>AND(#REF!,"AAAAAH+//gA=")</f>
        <v>#REF!</v>
      </c>
      <c r="B112" s="34" t="e">
        <f>AND(#REF!,"AAAAAH+//gE=")</f>
        <v>#REF!</v>
      </c>
      <c r="C112" s="34" t="e">
        <f>AND(#REF!,"AAAAAH+//gI=")</f>
        <v>#REF!</v>
      </c>
      <c r="D112" s="34" t="e">
        <f>AND(#REF!,"AAAAAH+//gM=")</f>
        <v>#REF!</v>
      </c>
      <c r="E112" s="34" t="e">
        <f>AND(#REF!,"AAAAAH+//gQ=")</f>
        <v>#REF!</v>
      </c>
      <c r="F112" s="34" t="e">
        <f>AND(#REF!,"AAAAAH+//gU=")</f>
        <v>#REF!</v>
      </c>
      <c r="G112" s="34" t="e">
        <f>AND(#REF!,"AAAAAH+//gY=")</f>
        <v>#REF!</v>
      </c>
      <c r="H112" s="34" t="e">
        <f>AND(#REF!,"AAAAAH+//gc=")</f>
        <v>#REF!</v>
      </c>
      <c r="I112" s="34" t="e">
        <f>AND(#REF!,"AAAAAH+//gg=")</f>
        <v>#REF!</v>
      </c>
      <c r="J112" s="34" t="e">
        <f>AND(#REF!,"AAAAAH+//gk=")</f>
        <v>#REF!</v>
      </c>
      <c r="K112" s="34" t="e">
        <f>AND(#REF!,"AAAAAH+//go=")</f>
        <v>#REF!</v>
      </c>
      <c r="L112" s="34" t="e">
        <f>AND(#REF!,"AAAAAH+//gs=")</f>
        <v>#REF!</v>
      </c>
      <c r="M112" s="34" t="e">
        <f>AND(#REF!,"AAAAAH+//gw=")</f>
        <v>#REF!</v>
      </c>
      <c r="N112" s="34" t="e">
        <f>AND(#REF!,"AAAAAH+//g0=")</f>
        <v>#REF!</v>
      </c>
      <c r="O112" s="34" t="e">
        <f>IF(#REF!,"AAAAAH+//g4=",0)</f>
        <v>#REF!</v>
      </c>
      <c r="P112" s="34" t="e">
        <f>AND(#REF!,"AAAAAH+//g8=")</f>
        <v>#REF!</v>
      </c>
      <c r="Q112" s="34" t="e">
        <f>AND(#REF!,"AAAAAH+//hA=")</f>
        <v>#REF!</v>
      </c>
      <c r="R112" s="34" t="e">
        <f>AND(#REF!,"AAAAAH+//hE=")</f>
        <v>#REF!</v>
      </c>
      <c r="S112" s="34" t="e">
        <f>AND(#REF!,"AAAAAH+//hI=")</f>
        <v>#REF!</v>
      </c>
      <c r="T112" s="34" t="e">
        <f>AND(#REF!,"AAAAAH+//hM=")</f>
        <v>#REF!</v>
      </c>
      <c r="U112" s="34" t="e">
        <f>AND(#REF!,"AAAAAH+//hQ=")</f>
        <v>#REF!</v>
      </c>
      <c r="V112" s="34" t="e">
        <f>AND(#REF!,"AAAAAH+//hU=")</f>
        <v>#REF!</v>
      </c>
      <c r="W112" s="34" t="e">
        <f>AND(#REF!,"AAAAAH+//hY=")</f>
        <v>#REF!</v>
      </c>
      <c r="X112" s="34" t="e">
        <f>AND(#REF!,"AAAAAH+//hc=")</f>
        <v>#REF!</v>
      </c>
      <c r="Y112" s="34" t="e">
        <f>AND(#REF!,"AAAAAH+//hg=")</f>
        <v>#REF!</v>
      </c>
      <c r="Z112" s="34" t="e">
        <f>AND(#REF!,"AAAAAH+//hk=")</f>
        <v>#REF!</v>
      </c>
      <c r="AA112" s="34" t="e">
        <f>AND(#REF!,"AAAAAH+//ho=")</f>
        <v>#REF!</v>
      </c>
      <c r="AB112" s="34" t="e">
        <f>AND(#REF!,"AAAAAH+//hs=")</f>
        <v>#REF!</v>
      </c>
      <c r="AC112" s="34" t="e">
        <f>AND(#REF!,"AAAAAH+//hw=")</f>
        <v>#REF!</v>
      </c>
      <c r="AD112" s="34" t="e">
        <f>AND(#REF!,"AAAAAH+//h0=")</f>
        <v>#REF!</v>
      </c>
      <c r="AE112" s="34" t="e">
        <f>AND(#REF!,"AAAAAH+//h4=")</f>
        <v>#REF!</v>
      </c>
      <c r="AF112" s="34" t="e">
        <f>IF(#REF!,"AAAAAH+//h8=",0)</f>
        <v>#REF!</v>
      </c>
      <c r="AG112" s="34" t="e">
        <f>AND(#REF!,"AAAAAH+//iA=")</f>
        <v>#REF!</v>
      </c>
      <c r="AH112" s="34" t="e">
        <f>AND(#REF!,"AAAAAH+//iE=")</f>
        <v>#REF!</v>
      </c>
      <c r="AI112" s="34" t="e">
        <f>AND(#REF!,"AAAAAH+//iI=")</f>
        <v>#REF!</v>
      </c>
      <c r="AJ112" s="34" t="e">
        <f>AND(#REF!,"AAAAAH+//iM=")</f>
        <v>#REF!</v>
      </c>
      <c r="AK112" s="34" t="e">
        <f>AND(#REF!,"AAAAAH+//iQ=")</f>
        <v>#REF!</v>
      </c>
      <c r="AL112" s="34" t="e">
        <f>AND(#REF!,"AAAAAH+//iU=")</f>
        <v>#REF!</v>
      </c>
      <c r="AM112" s="34" t="e">
        <f>AND(#REF!,"AAAAAH+//iY=")</f>
        <v>#REF!</v>
      </c>
      <c r="AN112" s="34" t="e">
        <f>AND(#REF!,"AAAAAH+//ic=")</f>
        <v>#REF!</v>
      </c>
      <c r="AO112" s="34" t="e">
        <f>AND(#REF!,"AAAAAH+//ig=")</f>
        <v>#REF!</v>
      </c>
      <c r="AP112" s="34" t="e">
        <f>AND(#REF!,"AAAAAH+//ik=")</f>
        <v>#REF!</v>
      </c>
      <c r="AQ112" s="34" t="e">
        <f>AND(#REF!,"AAAAAH+//io=")</f>
        <v>#REF!</v>
      </c>
      <c r="AR112" s="34" t="e">
        <f>AND(#REF!,"AAAAAH+//is=")</f>
        <v>#REF!</v>
      </c>
      <c r="AS112" s="34" t="e">
        <f>AND(#REF!,"AAAAAH+//iw=")</f>
        <v>#REF!</v>
      </c>
      <c r="AT112" s="34" t="e">
        <f>AND(#REF!,"AAAAAH+//i0=")</f>
        <v>#REF!</v>
      </c>
      <c r="AU112" s="34" t="e">
        <f>AND(#REF!,"AAAAAH+//i4=")</f>
        <v>#REF!</v>
      </c>
      <c r="AV112" s="34" t="e">
        <f>AND(#REF!,"AAAAAH+//i8=")</f>
        <v>#REF!</v>
      </c>
      <c r="AW112" s="34" t="e">
        <f>IF(#REF!,"AAAAAH+//jA=",0)</f>
        <v>#REF!</v>
      </c>
      <c r="AX112" s="34" t="e">
        <f>AND(#REF!,"AAAAAH+//jE=")</f>
        <v>#REF!</v>
      </c>
      <c r="AY112" s="34" t="e">
        <f>AND(#REF!,"AAAAAH+//jI=")</f>
        <v>#REF!</v>
      </c>
      <c r="AZ112" s="34" t="e">
        <f>AND(#REF!,"AAAAAH+//jM=")</f>
        <v>#REF!</v>
      </c>
      <c r="BA112" s="34" t="e">
        <f>AND(#REF!,"AAAAAH+//jQ=")</f>
        <v>#REF!</v>
      </c>
      <c r="BB112" s="34" t="e">
        <f>AND(#REF!,"AAAAAH+//jU=")</f>
        <v>#REF!</v>
      </c>
      <c r="BC112" s="34" t="e">
        <f>AND(#REF!,"AAAAAH+//jY=")</f>
        <v>#REF!</v>
      </c>
      <c r="BD112" s="34" t="e">
        <f>AND(#REF!,"AAAAAH+//jc=")</f>
        <v>#REF!</v>
      </c>
      <c r="BE112" s="34" t="e">
        <f>AND(#REF!,"AAAAAH+//jg=")</f>
        <v>#REF!</v>
      </c>
      <c r="BF112" s="34" t="e">
        <f>AND(#REF!,"AAAAAH+//jk=")</f>
        <v>#REF!</v>
      </c>
      <c r="BG112" s="34" t="e">
        <f>AND(#REF!,"AAAAAH+//jo=")</f>
        <v>#REF!</v>
      </c>
      <c r="BH112" s="34" t="e">
        <f>AND(#REF!,"AAAAAH+//js=")</f>
        <v>#REF!</v>
      </c>
      <c r="BI112" s="34" t="e">
        <f>AND(#REF!,"AAAAAH+//jw=")</f>
        <v>#REF!</v>
      </c>
      <c r="BJ112" s="34" t="e">
        <f>AND(#REF!,"AAAAAH+//j0=")</f>
        <v>#REF!</v>
      </c>
      <c r="BK112" s="34" t="e">
        <f>AND(#REF!,"AAAAAH+//j4=")</f>
        <v>#REF!</v>
      </c>
      <c r="BL112" s="34" t="e">
        <f>AND(#REF!,"AAAAAH+//j8=")</f>
        <v>#REF!</v>
      </c>
      <c r="BM112" s="34" t="e">
        <f>AND(#REF!,"AAAAAH+//kA=")</f>
        <v>#REF!</v>
      </c>
      <c r="BN112" s="34" t="e">
        <f>IF(#REF!,"AAAAAH+//kE=",0)</f>
        <v>#REF!</v>
      </c>
      <c r="BO112" s="34" t="e">
        <f>AND(#REF!,"AAAAAH+//kI=")</f>
        <v>#REF!</v>
      </c>
      <c r="BP112" s="34" t="e">
        <f>AND(#REF!,"AAAAAH+//kM=")</f>
        <v>#REF!</v>
      </c>
      <c r="BQ112" s="34" t="e">
        <f>AND(#REF!,"AAAAAH+//kQ=")</f>
        <v>#REF!</v>
      </c>
      <c r="BR112" s="34" t="e">
        <f>AND(#REF!,"AAAAAH+//kU=")</f>
        <v>#REF!</v>
      </c>
      <c r="BS112" s="34" t="e">
        <f>AND(#REF!,"AAAAAH+//kY=")</f>
        <v>#REF!</v>
      </c>
      <c r="BT112" s="34" t="e">
        <f>AND(#REF!,"AAAAAH+//kc=")</f>
        <v>#REF!</v>
      </c>
      <c r="BU112" s="34" t="e">
        <f>AND(#REF!,"AAAAAH+//kg=")</f>
        <v>#REF!</v>
      </c>
      <c r="BV112" s="34" t="e">
        <f>AND(#REF!,"AAAAAH+//kk=")</f>
        <v>#REF!</v>
      </c>
      <c r="BW112" s="34" t="e">
        <f>AND(#REF!,"AAAAAH+//ko=")</f>
        <v>#REF!</v>
      </c>
      <c r="BX112" s="34" t="e">
        <f>AND(#REF!,"AAAAAH+//ks=")</f>
        <v>#REF!</v>
      </c>
      <c r="BY112" s="34" t="e">
        <f>AND(#REF!,"AAAAAH+//kw=")</f>
        <v>#REF!</v>
      </c>
      <c r="BZ112" s="34" t="e">
        <f>AND(#REF!,"AAAAAH+//k0=")</f>
        <v>#REF!</v>
      </c>
      <c r="CA112" s="34" t="e">
        <f>AND(#REF!,"AAAAAH+//k4=")</f>
        <v>#REF!</v>
      </c>
      <c r="CB112" s="34" t="e">
        <f>AND(#REF!,"AAAAAH+//k8=")</f>
        <v>#REF!</v>
      </c>
      <c r="CC112" s="34" t="e">
        <f>AND(#REF!,"AAAAAH+//lA=")</f>
        <v>#REF!</v>
      </c>
      <c r="CD112" s="34" t="e">
        <f>AND(#REF!,"AAAAAH+//lE=")</f>
        <v>#REF!</v>
      </c>
      <c r="CE112" s="34" t="e">
        <f>IF(#REF!,"AAAAAH+//lI=",0)</f>
        <v>#REF!</v>
      </c>
      <c r="CF112" s="34" t="e">
        <f>AND(#REF!,"AAAAAH+//lM=")</f>
        <v>#REF!</v>
      </c>
      <c r="CG112" s="34" t="e">
        <f>AND(#REF!,"AAAAAH+//lQ=")</f>
        <v>#REF!</v>
      </c>
      <c r="CH112" s="34" t="e">
        <f>AND(#REF!,"AAAAAH+//lU=")</f>
        <v>#REF!</v>
      </c>
      <c r="CI112" s="34" t="e">
        <f>AND(#REF!,"AAAAAH+//lY=")</f>
        <v>#REF!</v>
      </c>
      <c r="CJ112" s="34" t="e">
        <f>AND(#REF!,"AAAAAH+//lc=")</f>
        <v>#REF!</v>
      </c>
      <c r="CK112" s="34" t="e">
        <f>AND(#REF!,"AAAAAH+//lg=")</f>
        <v>#REF!</v>
      </c>
      <c r="CL112" s="34" t="e">
        <f>AND(#REF!,"AAAAAH+//lk=")</f>
        <v>#REF!</v>
      </c>
      <c r="CM112" s="34" t="e">
        <f>AND(#REF!,"AAAAAH+//lo=")</f>
        <v>#REF!</v>
      </c>
      <c r="CN112" s="34" t="e">
        <f>AND(#REF!,"AAAAAH+//ls=")</f>
        <v>#REF!</v>
      </c>
      <c r="CO112" s="34" t="e">
        <f>AND(#REF!,"AAAAAH+//lw=")</f>
        <v>#REF!</v>
      </c>
      <c r="CP112" s="34" t="e">
        <f>AND(#REF!,"AAAAAH+//l0=")</f>
        <v>#REF!</v>
      </c>
      <c r="CQ112" s="34" t="e">
        <f>AND(#REF!,"AAAAAH+//l4=")</f>
        <v>#REF!</v>
      </c>
      <c r="CR112" s="34" t="e">
        <f>AND(#REF!,"AAAAAH+//l8=")</f>
        <v>#REF!</v>
      </c>
      <c r="CS112" s="34" t="e">
        <f>AND(#REF!,"AAAAAH+//mA=")</f>
        <v>#REF!</v>
      </c>
      <c r="CT112" s="34" t="e">
        <f>AND(#REF!,"AAAAAH+//mE=")</f>
        <v>#REF!</v>
      </c>
      <c r="CU112" s="34" t="e">
        <f>AND(#REF!,"AAAAAH+//mI=")</f>
        <v>#REF!</v>
      </c>
      <c r="CV112" s="34" t="e">
        <f>IF(#REF!,"AAAAAH+//mM=",0)</f>
        <v>#REF!</v>
      </c>
      <c r="CW112" s="34" t="e">
        <f>AND(#REF!,"AAAAAH+//mQ=")</f>
        <v>#REF!</v>
      </c>
      <c r="CX112" s="34" t="e">
        <f>AND(#REF!,"AAAAAH+//mU=")</f>
        <v>#REF!</v>
      </c>
      <c r="CY112" s="34" t="e">
        <f>AND(#REF!,"AAAAAH+//mY=")</f>
        <v>#REF!</v>
      </c>
      <c r="CZ112" s="34" t="e">
        <f>AND(#REF!,"AAAAAH+//mc=")</f>
        <v>#REF!</v>
      </c>
      <c r="DA112" s="34" t="e">
        <f>AND(#REF!,"AAAAAH+//mg=")</f>
        <v>#REF!</v>
      </c>
      <c r="DB112" s="34" t="e">
        <f>AND(#REF!,"AAAAAH+//mk=")</f>
        <v>#REF!</v>
      </c>
      <c r="DC112" s="34" t="e">
        <f>AND(#REF!,"AAAAAH+//mo=")</f>
        <v>#REF!</v>
      </c>
      <c r="DD112" s="34" t="e">
        <f>AND(#REF!,"AAAAAH+//ms=")</f>
        <v>#REF!</v>
      </c>
      <c r="DE112" s="34" t="e">
        <f>AND(#REF!,"AAAAAH+//mw=")</f>
        <v>#REF!</v>
      </c>
      <c r="DF112" s="34" t="e">
        <f>AND(#REF!,"AAAAAH+//m0=")</f>
        <v>#REF!</v>
      </c>
      <c r="DG112" s="34" t="e">
        <f>AND(#REF!,"AAAAAH+//m4=")</f>
        <v>#REF!</v>
      </c>
      <c r="DH112" s="34" t="e">
        <f>AND(#REF!,"AAAAAH+//m8=")</f>
        <v>#REF!</v>
      </c>
      <c r="DI112" s="34" t="e">
        <f>AND(#REF!,"AAAAAH+//nA=")</f>
        <v>#REF!</v>
      </c>
      <c r="DJ112" s="34" t="e">
        <f>AND(#REF!,"AAAAAH+//nE=")</f>
        <v>#REF!</v>
      </c>
      <c r="DK112" s="34" t="e">
        <f>AND(#REF!,"AAAAAH+//nI=")</f>
        <v>#REF!</v>
      </c>
      <c r="DL112" s="34" t="e">
        <f>AND(#REF!,"AAAAAH+//nM=")</f>
        <v>#REF!</v>
      </c>
      <c r="DM112" s="34" t="e">
        <f>IF(#REF!,"AAAAAH+//nQ=",0)</f>
        <v>#REF!</v>
      </c>
      <c r="DN112" s="34" t="e">
        <f>AND(#REF!,"AAAAAH+//nU=")</f>
        <v>#REF!</v>
      </c>
      <c r="DO112" s="34" t="e">
        <f>AND(#REF!,"AAAAAH+//nY=")</f>
        <v>#REF!</v>
      </c>
      <c r="DP112" s="34" t="e">
        <f>AND(#REF!,"AAAAAH+//nc=")</f>
        <v>#REF!</v>
      </c>
      <c r="DQ112" s="34" t="e">
        <f>AND(#REF!,"AAAAAH+//ng=")</f>
        <v>#REF!</v>
      </c>
      <c r="DR112" s="34" t="e">
        <f>AND(#REF!,"AAAAAH+//nk=")</f>
        <v>#REF!</v>
      </c>
      <c r="DS112" s="34" t="e">
        <f>AND(#REF!,"AAAAAH+//no=")</f>
        <v>#REF!</v>
      </c>
      <c r="DT112" s="34" t="e">
        <f>AND(#REF!,"AAAAAH+//ns=")</f>
        <v>#REF!</v>
      </c>
      <c r="DU112" s="34" t="e">
        <f>AND(#REF!,"AAAAAH+//nw=")</f>
        <v>#REF!</v>
      </c>
      <c r="DV112" s="34" t="e">
        <f>AND(#REF!,"AAAAAH+//n0=")</f>
        <v>#REF!</v>
      </c>
      <c r="DW112" s="34" t="e">
        <f>AND(#REF!,"AAAAAH+//n4=")</f>
        <v>#REF!</v>
      </c>
      <c r="DX112" s="34" t="e">
        <f>AND(#REF!,"AAAAAH+//n8=")</f>
        <v>#REF!</v>
      </c>
      <c r="DY112" s="34" t="e">
        <f>AND(#REF!,"AAAAAH+//oA=")</f>
        <v>#REF!</v>
      </c>
      <c r="DZ112" s="34" t="e">
        <f>AND(#REF!,"AAAAAH+//oE=")</f>
        <v>#REF!</v>
      </c>
      <c r="EA112" s="34" t="e">
        <f>AND(#REF!,"AAAAAH+//oI=")</f>
        <v>#REF!</v>
      </c>
      <c r="EB112" s="34" t="e">
        <f>AND(#REF!,"AAAAAH+//oM=")</f>
        <v>#REF!</v>
      </c>
      <c r="EC112" s="34" t="e">
        <f>AND(#REF!,"AAAAAH+//oQ=")</f>
        <v>#REF!</v>
      </c>
      <c r="ED112" s="34" t="e">
        <f>IF(#REF!,"AAAAAH+//oU=",0)</f>
        <v>#REF!</v>
      </c>
      <c r="EE112" s="34" t="e">
        <f>AND(#REF!,"AAAAAH+//oY=")</f>
        <v>#REF!</v>
      </c>
      <c r="EF112" s="34" t="e">
        <f>AND(#REF!,"AAAAAH+//oc=")</f>
        <v>#REF!</v>
      </c>
      <c r="EG112" s="34" t="e">
        <f>AND(#REF!,"AAAAAH+//og=")</f>
        <v>#REF!</v>
      </c>
      <c r="EH112" s="34" t="e">
        <f>AND(#REF!,"AAAAAH+//ok=")</f>
        <v>#REF!</v>
      </c>
      <c r="EI112" s="34" t="e">
        <f>AND(#REF!,"AAAAAH+//oo=")</f>
        <v>#REF!</v>
      </c>
      <c r="EJ112" s="34" t="e">
        <f>AND(#REF!,"AAAAAH+//os=")</f>
        <v>#REF!</v>
      </c>
      <c r="EK112" s="34" t="e">
        <f>AND(#REF!,"AAAAAH+//ow=")</f>
        <v>#REF!</v>
      </c>
      <c r="EL112" s="34" t="e">
        <f>AND(#REF!,"AAAAAH+//o0=")</f>
        <v>#REF!</v>
      </c>
      <c r="EM112" s="34" t="e">
        <f>AND(#REF!,"AAAAAH+//o4=")</f>
        <v>#REF!</v>
      </c>
      <c r="EN112" s="34" t="e">
        <f>AND(#REF!,"AAAAAH+//o8=")</f>
        <v>#REF!</v>
      </c>
      <c r="EO112" s="34" t="e">
        <f>AND(#REF!,"AAAAAH+//pA=")</f>
        <v>#REF!</v>
      </c>
      <c r="EP112" s="34" t="e">
        <f>AND(#REF!,"AAAAAH+//pE=")</f>
        <v>#REF!</v>
      </c>
      <c r="EQ112" s="34" t="e">
        <f>AND(#REF!,"AAAAAH+//pI=")</f>
        <v>#REF!</v>
      </c>
      <c r="ER112" s="34" t="e">
        <f>AND(#REF!,"AAAAAH+//pM=")</f>
        <v>#REF!</v>
      </c>
      <c r="ES112" s="34" t="e">
        <f>AND(#REF!,"AAAAAH+//pQ=")</f>
        <v>#REF!</v>
      </c>
      <c r="ET112" s="34" t="e">
        <f>AND(#REF!,"AAAAAH+//pU=")</f>
        <v>#REF!</v>
      </c>
      <c r="EU112" s="34" t="e">
        <f>IF(#REF!,"AAAAAH+//pY=",0)</f>
        <v>#REF!</v>
      </c>
      <c r="EV112" s="34" t="e">
        <f>AND(#REF!,"AAAAAH+//pc=")</f>
        <v>#REF!</v>
      </c>
      <c r="EW112" s="34" t="e">
        <f>AND(#REF!,"AAAAAH+//pg=")</f>
        <v>#REF!</v>
      </c>
      <c r="EX112" s="34" t="e">
        <f>AND(#REF!,"AAAAAH+//pk=")</f>
        <v>#REF!</v>
      </c>
      <c r="EY112" s="34" t="e">
        <f>AND(#REF!,"AAAAAH+//po=")</f>
        <v>#REF!</v>
      </c>
      <c r="EZ112" s="34" t="e">
        <f>AND(#REF!,"AAAAAH+//ps=")</f>
        <v>#REF!</v>
      </c>
      <c r="FA112" s="34" t="e">
        <f>AND(#REF!,"AAAAAH+//pw=")</f>
        <v>#REF!</v>
      </c>
      <c r="FB112" s="34" t="e">
        <f>AND(#REF!,"AAAAAH+//p0=")</f>
        <v>#REF!</v>
      </c>
      <c r="FC112" s="34" t="e">
        <f>AND(#REF!,"AAAAAH+//p4=")</f>
        <v>#REF!</v>
      </c>
      <c r="FD112" s="34" t="e">
        <f>AND(#REF!,"AAAAAH+//p8=")</f>
        <v>#REF!</v>
      </c>
      <c r="FE112" s="34" t="e">
        <f>AND(#REF!,"AAAAAH+//qA=")</f>
        <v>#REF!</v>
      </c>
      <c r="FF112" s="34" t="e">
        <f>AND(#REF!,"AAAAAH+//qE=")</f>
        <v>#REF!</v>
      </c>
      <c r="FG112" s="34" t="e">
        <f>AND(#REF!,"AAAAAH+//qI=")</f>
        <v>#REF!</v>
      </c>
      <c r="FH112" s="34" t="e">
        <f>AND(#REF!,"AAAAAH+//qM=")</f>
        <v>#REF!</v>
      </c>
      <c r="FI112" s="34" t="e">
        <f>AND(#REF!,"AAAAAH+//qQ=")</f>
        <v>#REF!</v>
      </c>
      <c r="FJ112" s="34" t="e">
        <f>AND(#REF!,"AAAAAH+//qU=")</f>
        <v>#REF!</v>
      </c>
      <c r="FK112" s="34" t="e">
        <f>AND(#REF!,"AAAAAH+//qY=")</f>
        <v>#REF!</v>
      </c>
      <c r="FL112" s="34" t="e">
        <f>IF(#REF!,"AAAAAH+//qc=",0)</f>
        <v>#REF!</v>
      </c>
      <c r="FM112" s="34" t="e">
        <f>AND(#REF!,"AAAAAH+//qg=")</f>
        <v>#REF!</v>
      </c>
      <c r="FN112" s="34" t="e">
        <f>AND(#REF!,"AAAAAH+//qk=")</f>
        <v>#REF!</v>
      </c>
      <c r="FO112" s="34" t="e">
        <f>AND(#REF!,"AAAAAH+//qo=")</f>
        <v>#REF!</v>
      </c>
      <c r="FP112" s="34" t="e">
        <f>AND(#REF!,"AAAAAH+//qs=")</f>
        <v>#REF!</v>
      </c>
      <c r="FQ112" s="34" t="e">
        <f>AND(#REF!,"AAAAAH+//qw=")</f>
        <v>#REF!</v>
      </c>
      <c r="FR112" s="34" t="e">
        <f>AND(#REF!,"AAAAAH+//q0=")</f>
        <v>#REF!</v>
      </c>
      <c r="FS112" s="34" t="e">
        <f>AND(#REF!,"AAAAAH+//q4=")</f>
        <v>#REF!</v>
      </c>
      <c r="FT112" s="34" t="e">
        <f>AND(#REF!,"AAAAAH+//q8=")</f>
        <v>#REF!</v>
      </c>
      <c r="FU112" s="34" t="e">
        <f>AND(#REF!,"AAAAAH+//rA=")</f>
        <v>#REF!</v>
      </c>
      <c r="FV112" s="34" t="e">
        <f>AND(#REF!,"AAAAAH+//rE=")</f>
        <v>#REF!</v>
      </c>
      <c r="FW112" s="34" t="e">
        <f>AND(#REF!,"AAAAAH+//rI=")</f>
        <v>#REF!</v>
      </c>
      <c r="FX112" s="34" t="e">
        <f>AND(#REF!,"AAAAAH+//rM=")</f>
        <v>#REF!</v>
      </c>
      <c r="FY112" s="34" t="e">
        <f>AND(#REF!,"AAAAAH+//rQ=")</f>
        <v>#REF!</v>
      </c>
      <c r="FZ112" s="34" t="e">
        <f>AND(#REF!,"AAAAAH+//rU=")</f>
        <v>#REF!</v>
      </c>
      <c r="GA112" s="34" t="e">
        <f>AND(#REF!,"AAAAAH+//rY=")</f>
        <v>#REF!</v>
      </c>
      <c r="GB112" s="34" t="e">
        <f>AND(#REF!,"AAAAAH+//rc=")</f>
        <v>#REF!</v>
      </c>
      <c r="GC112" s="34" t="e">
        <f>IF(#REF!,"AAAAAH+//rg=",0)</f>
        <v>#REF!</v>
      </c>
      <c r="GD112" s="34" t="e">
        <f>AND(#REF!,"AAAAAH+//rk=")</f>
        <v>#REF!</v>
      </c>
      <c r="GE112" s="34" t="e">
        <f>AND(#REF!,"AAAAAH+//ro=")</f>
        <v>#REF!</v>
      </c>
      <c r="GF112" s="34" t="e">
        <f>AND(#REF!,"AAAAAH+//rs=")</f>
        <v>#REF!</v>
      </c>
      <c r="GG112" s="34" t="e">
        <f>AND(#REF!,"AAAAAH+//rw=")</f>
        <v>#REF!</v>
      </c>
      <c r="GH112" s="34" t="e">
        <f>AND(#REF!,"AAAAAH+//r0=")</f>
        <v>#REF!</v>
      </c>
      <c r="GI112" s="34" t="e">
        <f>AND(#REF!,"AAAAAH+//r4=")</f>
        <v>#REF!</v>
      </c>
      <c r="GJ112" s="34" t="e">
        <f>AND(#REF!,"AAAAAH+//r8=")</f>
        <v>#REF!</v>
      </c>
      <c r="GK112" s="34" t="e">
        <f>AND(#REF!,"AAAAAH+//sA=")</f>
        <v>#REF!</v>
      </c>
      <c r="GL112" s="34" t="e">
        <f>AND(#REF!,"AAAAAH+//sE=")</f>
        <v>#REF!</v>
      </c>
      <c r="GM112" s="34" t="e">
        <f>AND(#REF!,"AAAAAH+//sI=")</f>
        <v>#REF!</v>
      </c>
      <c r="GN112" s="34" t="e">
        <f>AND(#REF!,"AAAAAH+//sM=")</f>
        <v>#REF!</v>
      </c>
      <c r="GO112" s="34" t="e">
        <f>AND(#REF!,"AAAAAH+//sQ=")</f>
        <v>#REF!</v>
      </c>
      <c r="GP112" s="34" t="e">
        <f>AND(#REF!,"AAAAAH+//sU=")</f>
        <v>#REF!</v>
      </c>
      <c r="GQ112" s="34" t="e">
        <f>AND(#REF!,"AAAAAH+//sY=")</f>
        <v>#REF!</v>
      </c>
      <c r="GR112" s="34" t="e">
        <f>AND(#REF!,"AAAAAH+//sc=")</f>
        <v>#REF!</v>
      </c>
      <c r="GS112" s="34" t="e">
        <f>AND(#REF!,"AAAAAH+//sg=")</f>
        <v>#REF!</v>
      </c>
      <c r="GT112" s="34" t="e">
        <f>IF(#REF!,"AAAAAH+//sk=",0)</f>
        <v>#REF!</v>
      </c>
      <c r="GU112" s="34" t="e">
        <f>AND(#REF!,"AAAAAH+//so=")</f>
        <v>#REF!</v>
      </c>
      <c r="GV112" s="34" t="e">
        <f>AND(#REF!,"AAAAAH+//ss=")</f>
        <v>#REF!</v>
      </c>
      <c r="GW112" s="34" t="e">
        <f>AND(#REF!,"AAAAAH+//sw=")</f>
        <v>#REF!</v>
      </c>
      <c r="GX112" s="34" t="e">
        <f>AND(#REF!,"AAAAAH+//s0=")</f>
        <v>#REF!</v>
      </c>
      <c r="GY112" s="34" t="e">
        <f>AND(#REF!,"AAAAAH+//s4=")</f>
        <v>#REF!</v>
      </c>
      <c r="GZ112" s="34" t="e">
        <f>AND(#REF!,"AAAAAH+//s8=")</f>
        <v>#REF!</v>
      </c>
      <c r="HA112" s="34" t="e">
        <f>AND(#REF!,"AAAAAH+//tA=")</f>
        <v>#REF!</v>
      </c>
      <c r="HB112" s="34" t="e">
        <f>AND(#REF!,"AAAAAH+//tE=")</f>
        <v>#REF!</v>
      </c>
      <c r="HC112" s="34" t="e">
        <f>AND(#REF!,"AAAAAH+//tI=")</f>
        <v>#REF!</v>
      </c>
      <c r="HD112" s="34" t="e">
        <f>AND(#REF!,"AAAAAH+//tM=")</f>
        <v>#REF!</v>
      </c>
      <c r="HE112" s="34" t="e">
        <f>AND(#REF!,"AAAAAH+//tQ=")</f>
        <v>#REF!</v>
      </c>
      <c r="HF112" s="34" t="e">
        <f>AND(#REF!,"AAAAAH+//tU=")</f>
        <v>#REF!</v>
      </c>
      <c r="HG112" s="34" t="e">
        <f>AND(#REF!,"AAAAAH+//tY=")</f>
        <v>#REF!</v>
      </c>
      <c r="HH112" s="34" t="e">
        <f>AND(#REF!,"AAAAAH+//tc=")</f>
        <v>#REF!</v>
      </c>
      <c r="HI112" s="34" t="e">
        <f>AND(#REF!,"AAAAAH+//tg=")</f>
        <v>#REF!</v>
      </c>
      <c r="HJ112" s="34" t="e">
        <f>AND(#REF!,"AAAAAH+//tk=")</f>
        <v>#REF!</v>
      </c>
      <c r="HK112" s="34" t="e">
        <f>IF(#REF!,"AAAAAH+//to=",0)</f>
        <v>#REF!</v>
      </c>
      <c r="HL112" s="34" t="e">
        <f>AND(#REF!,"AAAAAH+//ts=")</f>
        <v>#REF!</v>
      </c>
      <c r="HM112" s="34" t="e">
        <f>AND(#REF!,"AAAAAH+//tw=")</f>
        <v>#REF!</v>
      </c>
      <c r="HN112" s="34" t="e">
        <f>AND(#REF!,"AAAAAH+//t0=")</f>
        <v>#REF!</v>
      </c>
      <c r="HO112" s="34" t="e">
        <f>AND(#REF!,"AAAAAH+//t4=")</f>
        <v>#REF!</v>
      </c>
      <c r="HP112" s="34" t="e">
        <f>AND(#REF!,"AAAAAH+//t8=")</f>
        <v>#REF!</v>
      </c>
      <c r="HQ112" s="34" t="e">
        <f>AND(#REF!,"AAAAAH+//uA=")</f>
        <v>#REF!</v>
      </c>
      <c r="HR112" s="34" t="e">
        <f>AND(#REF!,"AAAAAH+//uE=")</f>
        <v>#REF!</v>
      </c>
      <c r="HS112" s="34" t="e">
        <f>AND(#REF!,"AAAAAH+//uI=")</f>
        <v>#REF!</v>
      </c>
      <c r="HT112" s="34" t="e">
        <f>AND(#REF!,"AAAAAH+//uM=")</f>
        <v>#REF!</v>
      </c>
      <c r="HU112" s="34" t="e">
        <f>AND(#REF!,"AAAAAH+//uQ=")</f>
        <v>#REF!</v>
      </c>
      <c r="HV112" s="34" t="e">
        <f>AND(#REF!,"AAAAAH+//uU=")</f>
        <v>#REF!</v>
      </c>
      <c r="HW112" s="34" t="e">
        <f>AND(#REF!,"AAAAAH+//uY=")</f>
        <v>#REF!</v>
      </c>
      <c r="HX112" s="34" t="e">
        <f>AND(#REF!,"AAAAAH+//uc=")</f>
        <v>#REF!</v>
      </c>
      <c r="HY112" s="34" t="e">
        <f>AND(#REF!,"AAAAAH+//ug=")</f>
        <v>#REF!</v>
      </c>
      <c r="HZ112" s="34" t="e">
        <f>AND(#REF!,"AAAAAH+//uk=")</f>
        <v>#REF!</v>
      </c>
      <c r="IA112" s="34" t="e">
        <f>AND(#REF!,"AAAAAH+//uo=")</f>
        <v>#REF!</v>
      </c>
      <c r="IB112" s="34" t="e">
        <f>IF(#REF!,"AAAAAH+//us=",0)</f>
        <v>#REF!</v>
      </c>
      <c r="IC112" s="34" t="e">
        <f>AND(#REF!,"AAAAAH+//uw=")</f>
        <v>#REF!</v>
      </c>
      <c r="ID112" s="34" t="e">
        <f>AND(#REF!,"AAAAAH+//u0=")</f>
        <v>#REF!</v>
      </c>
      <c r="IE112" s="34" t="e">
        <f>AND(#REF!,"AAAAAH+//u4=")</f>
        <v>#REF!</v>
      </c>
      <c r="IF112" s="34" t="e">
        <f>AND(#REF!,"AAAAAH+//u8=")</f>
        <v>#REF!</v>
      </c>
      <c r="IG112" s="34" t="e">
        <f>AND(#REF!,"AAAAAH+//vA=")</f>
        <v>#REF!</v>
      </c>
      <c r="IH112" s="34" t="e">
        <f>AND(#REF!,"AAAAAH+//vE=")</f>
        <v>#REF!</v>
      </c>
      <c r="II112" s="34" t="e">
        <f>AND(#REF!,"AAAAAH+//vI=")</f>
        <v>#REF!</v>
      </c>
      <c r="IJ112" s="34" t="e">
        <f>AND(#REF!,"AAAAAH+//vM=")</f>
        <v>#REF!</v>
      </c>
      <c r="IK112" s="34" t="e">
        <f>AND(#REF!,"AAAAAH+//vQ=")</f>
        <v>#REF!</v>
      </c>
      <c r="IL112" s="34" t="e">
        <f>AND(#REF!,"AAAAAH+//vU=")</f>
        <v>#REF!</v>
      </c>
      <c r="IM112" s="34" t="e">
        <f>AND(#REF!,"AAAAAH+//vY=")</f>
        <v>#REF!</v>
      </c>
      <c r="IN112" s="34" t="e">
        <f>AND(#REF!,"AAAAAH+//vc=")</f>
        <v>#REF!</v>
      </c>
      <c r="IO112" s="34" t="e">
        <f>AND(#REF!,"AAAAAH+//vg=")</f>
        <v>#REF!</v>
      </c>
      <c r="IP112" s="34" t="e">
        <f>AND(#REF!,"AAAAAH+//vk=")</f>
        <v>#REF!</v>
      </c>
      <c r="IQ112" s="34" t="e">
        <f>AND(#REF!,"AAAAAH+//vo=")</f>
        <v>#REF!</v>
      </c>
      <c r="IR112" s="34" t="e">
        <f>AND(#REF!,"AAAAAH+//vs=")</f>
        <v>#REF!</v>
      </c>
      <c r="IS112" s="34" t="e">
        <f>IF(#REF!,"AAAAAH+//vw=",0)</f>
        <v>#REF!</v>
      </c>
      <c r="IT112" s="34" t="e">
        <f>AND(#REF!,"AAAAAH+//v0=")</f>
        <v>#REF!</v>
      </c>
      <c r="IU112" s="34" t="e">
        <f>AND(#REF!,"AAAAAH+//v4=")</f>
        <v>#REF!</v>
      </c>
      <c r="IV112" s="34" t="e">
        <f>AND(#REF!,"AAAAAH+//v8=")</f>
        <v>#REF!</v>
      </c>
    </row>
    <row r="113" spans="1:256" ht="12.75" customHeight="1" x14ac:dyDescent="0.2">
      <c r="A113" s="34" t="e">
        <f>AND(#REF!,"AAAAAHve0wA=")</f>
        <v>#REF!</v>
      </c>
      <c r="B113" s="34" t="e">
        <f>AND(#REF!,"AAAAAHve0wE=")</f>
        <v>#REF!</v>
      </c>
      <c r="C113" s="34" t="e">
        <f>AND(#REF!,"AAAAAHve0wI=")</f>
        <v>#REF!</v>
      </c>
      <c r="D113" s="34" t="e">
        <f>AND(#REF!,"AAAAAHve0wM=")</f>
        <v>#REF!</v>
      </c>
      <c r="E113" s="34" t="e">
        <f>AND(#REF!,"AAAAAHve0wQ=")</f>
        <v>#REF!</v>
      </c>
      <c r="F113" s="34" t="e">
        <f>AND(#REF!,"AAAAAHve0wU=")</f>
        <v>#REF!</v>
      </c>
      <c r="G113" s="34" t="e">
        <f>AND(#REF!,"AAAAAHve0wY=")</f>
        <v>#REF!</v>
      </c>
      <c r="H113" s="34" t="e">
        <f>AND(#REF!,"AAAAAHve0wc=")</f>
        <v>#REF!</v>
      </c>
      <c r="I113" s="34" t="e">
        <f>AND(#REF!,"AAAAAHve0wg=")</f>
        <v>#REF!</v>
      </c>
      <c r="J113" s="34" t="e">
        <f>AND(#REF!,"AAAAAHve0wk=")</f>
        <v>#REF!</v>
      </c>
      <c r="K113" s="34" t="e">
        <f>AND(#REF!,"AAAAAHve0wo=")</f>
        <v>#REF!</v>
      </c>
      <c r="L113" s="34" t="e">
        <f>AND(#REF!,"AAAAAHve0ws=")</f>
        <v>#REF!</v>
      </c>
      <c r="M113" s="34" t="e">
        <f>AND(#REF!,"AAAAAHve0ww=")</f>
        <v>#REF!</v>
      </c>
      <c r="N113" s="34" t="e">
        <f>IF(#REF!,"AAAAAHve0w0=",0)</f>
        <v>#REF!</v>
      </c>
      <c r="O113" s="34" t="e">
        <f>AND(#REF!,"AAAAAHve0w4=")</f>
        <v>#REF!</v>
      </c>
      <c r="P113" s="34" t="e">
        <f>AND(#REF!,"AAAAAHve0w8=")</f>
        <v>#REF!</v>
      </c>
      <c r="Q113" s="34" t="e">
        <f>AND(#REF!,"AAAAAHve0xA=")</f>
        <v>#REF!</v>
      </c>
      <c r="R113" s="34" t="e">
        <f>AND(#REF!,"AAAAAHve0xE=")</f>
        <v>#REF!</v>
      </c>
      <c r="S113" s="34" t="e">
        <f>AND(#REF!,"AAAAAHve0xI=")</f>
        <v>#REF!</v>
      </c>
      <c r="T113" s="34" t="e">
        <f>AND(#REF!,"AAAAAHve0xM=")</f>
        <v>#REF!</v>
      </c>
      <c r="U113" s="34" t="e">
        <f>AND(#REF!,"AAAAAHve0xQ=")</f>
        <v>#REF!</v>
      </c>
      <c r="V113" s="34" t="e">
        <f>AND(#REF!,"AAAAAHve0xU=")</f>
        <v>#REF!</v>
      </c>
      <c r="W113" s="34" t="e">
        <f>AND(#REF!,"AAAAAHve0xY=")</f>
        <v>#REF!</v>
      </c>
      <c r="X113" s="34" t="e">
        <f>AND(#REF!,"AAAAAHve0xc=")</f>
        <v>#REF!</v>
      </c>
      <c r="Y113" s="34" t="e">
        <f>AND(#REF!,"AAAAAHve0xg=")</f>
        <v>#REF!</v>
      </c>
      <c r="Z113" s="34" t="e">
        <f>AND(#REF!,"AAAAAHve0xk=")</f>
        <v>#REF!</v>
      </c>
      <c r="AA113" s="34" t="e">
        <f>AND(#REF!,"AAAAAHve0xo=")</f>
        <v>#REF!</v>
      </c>
      <c r="AB113" s="34" t="e">
        <f>AND(#REF!,"AAAAAHve0xs=")</f>
        <v>#REF!</v>
      </c>
      <c r="AC113" s="34" t="e">
        <f>AND(#REF!,"AAAAAHve0xw=")</f>
        <v>#REF!</v>
      </c>
      <c r="AD113" s="34" t="e">
        <f>AND(#REF!,"AAAAAHve0x0=")</f>
        <v>#REF!</v>
      </c>
      <c r="AE113" s="34" t="e">
        <f>IF(#REF!,"AAAAAHve0x4=",0)</f>
        <v>#REF!</v>
      </c>
      <c r="AF113" s="34" t="e">
        <f>AND(#REF!,"AAAAAHve0x8=")</f>
        <v>#REF!</v>
      </c>
      <c r="AG113" s="34" t="e">
        <f>AND(#REF!,"AAAAAHve0yA=")</f>
        <v>#REF!</v>
      </c>
      <c r="AH113" s="34" t="e">
        <f>AND(#REF!,"AAAAAHve0yE=")</f>
        <v>#REF!</v>
      </c>
      <c r="AI113" s="34" t="e">
        <f>AND(#REF!,"AAAAAHve0yI=")</f>
        <v>#REF!</v>
      </c>
      <c r="AJ113" s="34" t="e">
        <f>AND(#REF!,"AAAAAHve0yM=")</f>
        <v>#REF!</v>
      </c>
      <c r="AK113" s="34" t="e">
        <f>AND(#REF!,"AAAAAHve0yQ=")</f>
        <v>#REF!</v>
      </c>
      <c r="AL113" s="34" t="e">
        <f>AND(#REF!,"AAAAAHve0yU=")</f>
        <v>#REF!</v>
      </c>
      <c r="AM113" s="34" t="e">
        <f>AND(#REF!,"AAAAAHve0yY=")</f>
        <v>#REF!</v>
      </c>
      <c r="AN113" s="34" t="e">
        <f>AND(#REF!,"AAAAAHve0yc=")</f>
        <v>#REF!</v>
      </c>
      <c r="AO113" s="34" t="e">
        <f>AND(#REF!,"AAAAAHve0yg=")</f>
        <v>#REF!</v>
      </c>
      <c r="AP113" s="34" t="e">
        <f>AND(#REF!,"AAAAAHve0yk=")</f>
        <v>#REF!</v>
      </c>
      <c r="AQ113" s="34" t="e">
        <f>AND(#REF!,"AAAAAHve0yo=")</f>
        <v>#REF!</v>
      </c>
      <c r="AR113" s="34" t="e">
        <f>AND(#REF!,"AAAAAHve0ys=")</f>
        <v>#REF!</v>
      </c>
      <c r="AS113" s="34" t="e">
        <f>AND(#REF!,"AAAAAHve0yw=")</f>
        <v>#REF!</v>
      </c>
      <c r="AT113" s="34" t="e">
        <f>AND(#REF!,"AAAAAHve0y0=")</f>
        <v>#REF!</v>
      </c>
      <c r="AU113" s="34" t="e">
        <f>AND(#REF!,"AAAAAHve0y4=")</f>
        <v>#REF!</v>
      </c>
      <c r="AV113" s="34" t="e">
        <f>IF(#REF!,"AAAAAHve0y8=",0)</f>
        <v>#REF!</v>
      </c>
      <c r="AW113" s="34" t="e">
        <f>AND(#REF!,"AAAAAHve0zA=")</f>
        <v>#REF!</v>
      </c>
      <c r="AX113" s="34" t="e">
        <f>AND(#REF!,"AAAAAHve0zE=")</f>
        <v>#REF!</v>
      </c>
      <c r="AY113" s="34" t="e">
        <f>AND(#REF!,"AAAAAHve0zI=")</f>
        <v>#REF!</v>
      </c>
      <c r="AZ113" s="34" t="e">
        <f>AND(#REF!,"AAAAAHve0zM=")</f>
        <v>#REF!</v>
      </c>
      <c r="BA113" s="34" t="e">
        <f>AND(#REF!,"AAAAAHve0zQ=")</f>
        <v>#REF!</v>
      </c>
      <c r="BB113" s="34" t="e">
        <f>AND(#REF!,"AAAAAHve0zU=")</f>
        <v>#REF!</v>
      </c>
      <c r="BC113" s="34" t="e">
        <f>AND(#REF!,"AAAAAHve0zY=")</f>
        <v>#REF!</v>
      </c>
      <c r="BD113" s="34" t="e">
        <f>AND(#REF!,"AAAAAHve0zc=")</f>
        <v>#REF!</v>
      </c>
      <c r="BE113" s="34" t="e">
        <f>AND(#REF!,"AAAAAHve0zg=")</f>
        <v>#REF!</v>
      </c>
      <c r="BF113" s="34" t="e">
        <f>AND(#REF!,"AAAAAHve0zk=")</f>
        <v>#REF!</v>
      </c>
      <c r="BG113" s="34" t="e">
        <f>AND(#REF!,"AAAAAHve0zo=")</f>
        <v>#REF!</v>
      </c>
      <c r="BH113" s="34" t="e">
        <f>AND(#REF!,"AAAAAHve0zs=")</f>
        <v>#REF!</v>
      </c>
      <c r="BI113" s="34" t="e">
        <f>AND(#REF!,"AAAAAHve0zw=")</f>
        <v>#REF!</v>
      </c>
      <c r="BJ113" s="34" t="e">
        <f>AND(#REF!,"AAAAAHve0z0=")</f>
        <v>#REF!</v>
      </c>
      <c r="BK113" s="34" t="e">
        <f>AND(#REF!,"AAAAAHve0z4=")</f>
        <v>#REF!</v>
      </c>
      <c r="BL113" s="34" t="e">
        <f>AND(#REF!,"AAAAAHve0z8=")</f>
        <v>#REF!</v>
      </c>
      <c r="BM113" s="34" t="e">
        <f>IF(#REF!,"AAAAAHve00A=",0)</f>
        <v>#REF!</v>
      </c>
      <c r="BN113" s="34" t="e">
        <f>AND(#REF!,"AAAAAHve00E=")</f>
        <v>#REF!</v>
      </c>
      <c r="BO113" s="34" t="e">
        <f>AND(#REF!,"AAAAAHve00I=")</f>
        <v>#REF!</v>
      </c>
      <c r="BP113" s="34" t="e">
        <f>AND(#REF!,"AAAAAHve00M=")</f>
        <v>#REF!</v>
      </c>
      <c r="BQ113" s="34" t="e">
        <f>AND(#REF!,"AAAAAHve00Q=")</f>
        <v>#REF!</v>
      </c>
      <c r="BR113" s="34" t="e">
        <f>AND(#REF!,"AAAAAHve00U=")</f>
        <v>#REF!</v>
      </c>
      <c r="BS113" s="34" t="e">
        <f>AND(#REF!,"AAAAAHve00Y=")</f>
        <v>#REF!</v>
      </c>
      <c r="BT113" s="34" t="e">
        <f>AND(#REF!,"AAAAAHve00c=")</f>
        <v>#REF!</v>
      </c>
      <c r="BU113" s="34" t="e">
        <f>AND(#REF!,"AAAAAHve00g=")</f>
        <v>#REF!</v>
      </c>
      <c r="BV113" s="34" t="e">
        <f>AND(#REF!,"AAAAAHve00k=")</f>
        <v>#REF!</v>
      </c>
      <c r="BW113" s="34" t="e">
        <f>AND(#REF!,"AAAAAHve00o=")</f>
        <v>#REF!</v>
      </c>
      <c r="BX113" s="34" t="e">
        <f>AND(#REF!,"AAAAAHve00s=")</f>
        <v>#REF!</v>
      </c>
      <c r="BY113" s="34" t="e">
        <f>AND(#REF!,"AAAAAHve00w=")</f>
        <v>#REF!</v>
      </c>
      <c r="BZ113" s="34" t="e">
        <f>AND(#REF!,"AAAAAHve000=")</f>
        <v>#REF!</v>
      </c>
      <c r="CA113" s="34" t="e">
        <f>AND(#REF!,"AAAAAHve004=")</f>
        <v>#REF!</v>
      </c>
      <c r="CB113" s="34" t="e">
        <f>AND(#REF!,"AAAAAHve008=")</f>
        <v>#REF!</v>
      </c>
      <c r="CC113" s="34" t="e">
        <f>AND(#REF!,"AAAAAHve01A=")</f>
        <v>#REF!</v>
      </c>
      <c r="CD113" s="34" t="e">
        <f>IF(#REF!,"AAAAAHve01E=",0)</f>
        <v>#REF!</v>
      </c>
      <c r="CE113" s="34" t="e">
        <f>AND(#REF!,"AAAAAHve01I=")</f>
        <v>#REF!</v>
      </c>
      <c r="CF113" s="34" t="e">
        <f>AND(#REF!,"AAAAAHve01M=")</f>
        <v>#REF!</v>
      </c>
      <c r="CG113" s="34" t="e">
        <f>AND(#REF!,"AAAAAHve01Q=")</f>
        <v>#REF!</v>
      </c>
      <c r="CH113" s="34" t="e">
        <f>AND(#REF!,"AAAAAHve01U=")</f>
        <v>#REF!</v>
      </c>
      <c r="CI113" s="34" t="e">
        <f>AND(#REF!,"AAAAAHve01Y=")</f>
        <v>#REF!</v>
      </c>
      <c r="CJ113" s="34" t="e">
        <f>AND(#REF!,"AAAAAHve01c=")</f>
        <v>#REF!</v>
      </c>
      <c r="CK113" s="34" t="e">
        <f>AND(#REF!,"AAAAAHve01g=")</f>
        <v>#REF!</v>
      </c>
      <c r="CL113" s="34" t="e">
        <f>AND(#REF!,"AAAAAHve01k=")</f>
        <v>#REF!</v>
      </c>
      <c r="CM113" s="34" t="e">
        <f>AND(#REF!,"AAAAAHve01o=")</f>
        <v>#REF!</v>
      </c>
      <c r="CN113" s="34" t="e">
        <f>AND(#REF!,"AAAAAHve01s=")</f>
        <v>#REF!</v>
      </c>
      <c r="CO113" s="34" t="e">
        <f>AND(#REF!,"AAAAAHve01w=")</f>
        <v>#REF!</v>
      </c>
      <c r="CP113" s="34" t="e">
        <f>AND(#REF!,"AAAAAHve010=")</f>
        <v>#REF!</v>
      </c>
      <c r="CQ113" s="34" t="e">
        <f>AND(#REF!,"AAAAAHve014=")</f>
        <v>#REF!</v>
      </c>
      <c r="CR113" s="34" t="e">
        <f>AND(#REF!,"AAAAAHve018=")</f>
        <v>#REF!</v>
      </c>
      <c r="CS113" s="34" t="e">
        <f>AND(#REF!,"AAAAAHve02A=")</f>
        <v>#REF!</v>
      </c>
      <c r="CT113" s="34" t="e">
        <f>AND(#REF!,"AAAAAHve02E=")</f>
        <v>#REF!</v>
      </c>
      <c r="CU113" s="34" t="e">
        <f>IF(#REF!,"AAAAAHve02I=",0)</f>
        <v>#REF!</v>
      </c>
      <c r="CV113" s="34" t="e">
        <f>AND(#REF!,"AAAAAHve02M=")</f>
        <v>#REF!</v>
      </c>
      <c r="CW113" s="34" t="e">
        <f>AND(#REF!,"AAAAAHve02Q=")</f>
        <v>#REF!</v>
      </c>
      <c r="CX113" s="34" t="e">
        <f>AND(#REF!,"AAAAAHve02U=")</f>
        <v>#REF!</v>
      </c>
      <c r="CY113" s="34" t="e">
        <f>AND(#REF!,"AAAAAHve02Y=")</f>
        <v>#REF!</v>
      </c>
      <c r="CZ113" s="34" t="e">
        <f>AND(#REF!,"AAAAAHve02c=")</f>
        <v>#REF!</v>
      </c>
      <c r="DA113" s="34" t="e">
        <f>AND(#REF!,"AAAAAHve02g=")</f>
        <v>#REF!</v>
      </c>
      <c r="DB113" s="34" t="e">
        <f>AND(#REF!,"AAAAAHve02k=")</f>
        <v>#REF!</v>
      </c>
      <c r="DC113" s="34" t="e">
        <f>AND(#REF!,"AAAAAHve02o=")</f>
        <v>#REF!</v>
      </c>
      <c r="DD113" s="34" t="e">
        <f>AND(#REF!,"AAAAAHve02s=")</f>
        <v>#REF!</v>
      </c>
      <c r="DE113" s="34" t="e">
        <f>AND(#REF!,"AAAAAHve02w=")</f>
        <v>#REF!</v>
      </c>
      <c r="DF113" s="34" t="e">
        <f>AND(#REF!,"AAAAAHve020=")</f>
        <v>#REF!</v>
      </c>
      <c r="DG113" s="34" t="e">
        <f>AND(#REF!,"AAAAAHve024=")</f>
        <v>#REF!</v>
      </c>
      <c r="DH113" s="34" t="e">
        <f>AND(#REF!,"AAAAAHve028=")</f>
        <v>#REF!</v>
      </c>
      <c r="DI113" s="34" t="e">
        <f>AND(#REF!,"AAAAAHve03A=")</f>
        <v>#REF!</v>
      </c>
      <c r="DJ113" s="34" t="e">
        <f>AND(#REF!,"AAAAAHve03E=")</f>
        <v>#REF!</v>
      </c>
      <c r="DK113" s="34" t="e">
        <f>AND(#REF!,"AAAAAHve03I=")</f>
        <v>#REF!</v>
      </c>
      <c r="DL113" s="34" t="e">
        <f>IF(#REF!,"AAAAAHve03M=",0)</f>
        <v>#REF!</v>
      </c>
      <c r="DM113" s="34" t="e">
        <f>AND(#REF!,"AAAAAHve03Q=")</f>
        <v>#REF!</v>
      </c>
      <c r="DN113" s="34" t="e">
        <f>AND(#REF!,"AAAAAHve03U=")</f>
        <v>#REF!</v>
      </c>
      <c r="DO113" s="34" t="e">
        <f>AND(#REF!,"AAAAAHve03Y=")</f>
        <v>#REF!</v>
      </c>
      <c r="DP113" s="34" t="e">
        <f>AND(#REF!,"AAAAAHve03c=")</f>
        <v>#REF!</v>
      </c>
      <c r="DQ113" s="34" t="e">
        <f>AND(#REF!,"AAAAAHve03g=")</f>
        <v>#REF!</v>
      </c>
      <c r="DR113" s="34" t="e">
        <f>AND(#REF!,"AAAAAHve03k=")</f>
        <v>#REF!</v>
      </c>
      <c r="DS113" s="34" t="e">
        <f>AND(#REF!,"AAAAAHve03o=")</f>
        <v>#REF!</v>
      </c>
      <c r="DT113" s="34" t="e">
        <f>AND(#REF!,"AAAAAHve03s=")</f>
        <v>#REF!</v>
      </c>
      <c r="DU113" s="34" t="e">
        <f>AND(#REF!,"AAAAAHve03w=")</f>
        <v>#REF!</v>
      </c>
      <c r="DV113" s="34" t="e">
        <f>AND(#REF!,"AAAAAHve030=")</f>
        <v>#REF!</v>
      </c>
      <c r="DW113" s="34" t="e">
        <f>AND(#REF!,"AAAAAHve034=")</f>
        <v>#REF!</v>
      </c>
      <c r="DX113" s="34" t="e">
        <f>AND(#REF!,"AAAAAHve038=")</f>
        <v>#REF!</v>
      </c>
      <c r="DY113" s="34" t="e">
        <f>AND(#REF!,"AAAAAHve04A=")</f>
        <v>#REF!</v>
      </c>
      <c r="DZ113" s="34" t="e">
        <f>AND(#REF!,"AAAAAHve04E=")</f>
        <v>#REF!</v>
      </c>
      <c r="EA113" s="34" t="e">
        <f>AND(#REF!,"AAAAAHve04I=")</f>
        <v>#REF!</v>
      </c>
      <c r="EB113" s="34" t="e">
        <f>AND(#REF!,"AAAAAHve04M=")</f>
        <v>#REF!</v>
      </c>
      <c r="EC113" s="34" t="e">
        <f>IF(#REF!,"AAAAAHve04Q=",0)</f>
        <v>#REF!</v>
      </c>
      <c r="ED113" s="34" t="e">
        <f>AND(#REF!,"AAAAAHve04U=")</f>
        <v>#REF!</v>
      </c>
      <c r="EE113" s="34" t="e">
        <f>AND(#REF!,"AAAAAHve04Y=")</f>
        <v>#REF!</v>
      </c>
      <c r="EF113" s="34" t="e">
        <f>AND(#REF!,"AAAAAHve04c=")</f>
        <v>#REF!</v>
      </c>
      <c r="EG113" s="34" t="e">
        <f>AND(#REF!,"AAAAAHve04g=")</f>
        <v>#REF!</v>
      </c>
      <c r="EH113" s="34" t="e">
        <f>AND(#REF!,"AAAAAHve04k=")</f>
        <v>#REF!</v>
      </c>
      <c r="EI113" s="34" t="e">
        <f>AND(#REF!,"AAAAAHve04o=")</f>
        <v>#REF!</v>
      </c>
      <c r="EJ113" s="34" t="e">
        <f>AND(#REF!,"AAAAAHve04s=")</f>
        <v>#REF!</v>
      </c>
      <c r="EK113" s="34" t="e">
        <f>AND(#REF!,"AAAAAHve04w=")</f>
        <v>#REF!</v>
      </c>
      <c r="EL113" s="34" t="e">
        <f>AND(#REF!,"AAAAAHve040=")</f>
        <v>#REF!</v>
      </c>
      <c r="EM113" s="34" t="e">
        <f>AND(#REF!,"AAAAAHve044=")</f>
        <v>#REF!</v>
      </c>
      <c r="EN113" s="34" t="e">
        <f>AND(#REF!,"AAAAAHve048=")</f>
        <v>#REF!</v>
      </c>
      <c r="EO113" s="34" t="e">
        <f>AND(#REF!,"AAAAAHve05A=")</f>
        <v>#REF!</v>
      </c>
      <c r="EP113" s="34" t="e">
        <f>AND(#REF!,"AAAAAHve05E=")</f>
        <v>#REF!</v>
      </c>
      <c r="EQ113" s="34" t="e">
        <f>AND(#REF!,"AAAAAHve05I=")</f>
        <v>#REF!</v>
      </c>
      <c r="ER113" s="34" t="e">
        <f>AND(#REF!,"AAAAAHve05M=")</f>
        <v>#REF!</v>
      </c>
      <c r="ES113" s="34" t="e">
        <f>AND(#REF!,"AAAAAHve05Q=")</f>
        <v>#REF!</v>
      </c>
      <c r="ET113" s="34" t="e">
        <f>IF(#REF!,"AAAAAHve05U=",0)</f>
        <v>#REF!</v>
      </c>
      <c r="EU113" s="34" t="e">
        <f>AND(#REF!,"AAAAAHve05Y=")</f>
        <v>#REF!</v>
      </c>
      <c r="EV113" s="34" t="e">
        <f>AND(#REF!,"AAAAAHve05c=")</f>
        <v>#REF!</v>
      </c>
      <c r="EW113" s="34" t="e">
        <f>AND(#REF!,"AAAAAHve05g=")</f>
        <v>#REF!</v>
      </c>
      <c r="EX113" s="34" t="e">
        <f>AND(#REF!,"AAAAAHve05k=")</f>
        <v>#REF!</v>
      </c>
      <c r="EY113" s="34" t="e">
        <f>AND(#REF!,"AAAAAHve05o=")</f>
        <v>#REF!</v>
      </c>
      <c r="EZ113" s="34" t="e">
        <f>AND(#REF!,"AAAAAHve05s=")</f>
        <v>#REF!</v>
      </c>
      <c r="FA113" s="34" t="e">
        <f>AND(#REF!,"AAAAAHve05w=")</f>
        <v>#REF!</v>
      </c>
      <c r="FB113" s="34" t="e">
        <f>AND(#REF!,"AAAAAHve050=")</f>
        <v>#REF!</v>
      </c>
      <c r="FC113" s="34" t="e">
        <f>AND(#REF!,"AAAAAHve054=")</f>
        <v>#REF!</v>
      </c>
      <c r="FD113" s="34" t="e">
        <f>AND(#REF!,"AAAAAHve058=")</f>
        <v>#REF!</v>
      </c>
      <c r="FE113" s="34" t="e">
        <f>AND(#REF!,"AAAAAHve06A=")</f>
        <v>#REF!</v>
      </c>
      <c r="FF113" s="34" t="e">
        <f>AND(#REF!,"AAAAAHve06E=")</f>
        <v>#REF!</v>
      </c>
      <c r="FG113" s="34" t="e">
        <f>AND(#REF!,"AAAAAHve06I=")</f>
        <v>#REF!</v>
      </c>
      <c r="FH113" s="34" t="e">
        <f>AND(#REF!,"AAAAAHve06M=")</f>
        <v>#REF!</v>
      </c>
      <c r="FI113" s="34" t="e">
        <f>AND(#REF!,"AAAAAHve06Q=")</f>
        <v>#REF!</v>
      </c>
      <c r="FJ113" s="34" t="e">
        <f>AND(#REF!,"AAAAAHve06U=")</f>
        <v>#REF!</v>
      </c>
      <c r="FK113" s="34" t="e">
        <f>IF(#REF!,"AAAAAHve06Y=",0)</f>
        <v>#REF!</v>
      </c>
      <c r="FL113" s="34" t="e">
        <f>AND(#REF!,"AAAAAHve06c=")</f>
        <v>#REF!</v>
      </c>
      <c r="FM113" s="34" t="e">
        <f>AND(#REF!,"AAAAAHve06g=")</f>
        <v>#REF!</v>
      </c>
      <c r="FN113" s="34" t="e">
        <f>AND(#REF!,"AAAAAHve06k=")</f>
        <v>#REF!</v>
      </c>
      <c r="FO113" s="34" t="e">
        <f>AND(#REF!,"AAAAAHve06o=")</f>
        <v>#REF!</v>
      </c>
      <c r="FP113" s="34" t="e">
        <f>AND(#REF!,"AAAAAHve06s=")</f>
        <v>#REF!</v>
      </c>
      <c r="FQ113" s="34" t="e">
        <f>AND(#REF!,"AAAAAHve06w=")</f>
        <v>#REF!</v>
      </c>
      <c r="FR113" s="34" t="e">
        <f>AND(#REF!,"AAAAAHve060=")</f>
        <v>#REF!</v>
      </c>
      <c r="FS113" s="34" t="e">
        <f>AND(#REF!,"AAAAAHve064=")</f>
        <v>#REF!</v>
      </c>
      <c r="FT113" s="34" t="e">
        <f>AND(#REF!,"AAAAAHve068=")</f>
        <v>#REF!</v>
      </c>
      <c r="FU113" s="34" t="e">
        <f>AND(#REF!,"AAAAAHve07A=")</f>
        <v>#REF!</v>
      </c>
      <c r="FV113" s="34" t="e">
        <f>AND(#REF!,"AAAAAHve07E=")</f>
        <v>#REF!</v>
      </c>
      <c r="FW113" s="34" t="e">
        <f>AND(#REF!,"AAAAAHve07I=")</f>
        <v>#REF!</v>
      </c>
      <c r="FX113" s="34" t="e">
        <f>AND(#REF!,"AAAAAHve07M=")</f>
        <v>#REF!</v>
      </c>
      <c r="FY113" s="34" t="e">
        <f>AND(#REF!,"AAAAAHve07Q=")</f>
        <v>#REF!</v>
      </c>
      <c r="FZ113" s="34" t="e">
        <f>AND(#REF!,"AAAAAHve07U=")</f>
        <v>#REF!</v>
      </c>
      <c r="GA113" s="34" t="e">
        <f>AND(#REF!,"AAAAAHve07Y=")</f>
        <v>#REF!</v>
      </c>
      <c r="GB113" s="34" t="e">
        <f>IF(#REF!,"AAAAAHve07c=",0)</f>
        <v>#REF!</v>
      </c>
      <c r="GC113" s="34" t="e">
        <f>IF(#REF!,"AAAAAHve07g=",0)</f>
        <v>#REF!</v>
      </c>
      <c r="GD113" s="34" t="e">
        <f>IF(#REF!,"AAAAAHve07k=",0)</f>
        <v>#REF!</v>
      </c>
      <c r="GE113" s="34" t="e">
        <f>IF(#REF!,"AAAAAHve07o=",0)</f>
        <v>#REF!</v>
      </c>
      <c r="GF113" s="34" t="e">
        <f>IF(#REF!,"AAAAAHve07s=",0)</f>
        <v>#REF!</v>
      </c>
      <c r="GG113" s="34" t="e">
        <f>IF(#REF!,"AAAAAHve07w=",0)</f>
        <v>#REF!</v>
      </c>
      <c r="GH113" s="34" t="e">
        <f>IF(#REF!,"AAAAAHve070=",0)</f>
        <v>#REF!</v>
      </c>
      <c r="GI113" s="34" t="e">
        <f>IF(#REF!,"AAAAAHve074=",0)</f>
        <v>#REF!</v>
      </c>
      <c r="GJ113" s="34" t="e">
        <f>IF(#REF!,"AAAAAHve078=",0)</f>
        <v>#REF!</v>
      </c>
      <c r="GK113" s="34" t="e">
        <f>IF(#REF!,"AAAAAHve08A=",0)</f>
        <v>#REF!</v>
      </c>
      <c r="GL113" s="34" t="e">
        <f>IF(#REF!,"AAAAAHve08E=",0)</f>
        <v>#REF!</v>
      </c>
      <c r="GM113" s="34" t="e">
        <f>IF(#REF!,"AAAAAHve08I=",0)</f>
        <v>#REF!</v>
      </c>
      <c r="GN113" s="34" t="e">
        <f>IF(#REF!,"AAAAAHve08M=",0)</f>
        <v>#REF!</v>
      </c>
      <c r="GO113" s="34" t="e">
        <f>IF(#REF!,"AAAAAHve08Q=",0)</f>
        <v>#REF!</v>
      </c>
      <c r="GP113" s="34" t="e">
        <f>IF(#REF!,"AAAAAHve08U=",0)</f>
        <v>#REF!</v>
      </c>
      <c r="GQ113" s="34" t="e">
        <f>IF(#REF!,"AAAAAHve08Y=",0)</f>
        <v>#REF!</v>
      </c>
      <c r="GR113" s="34" t="e">
        <f>IF(#REF!,"AAAAAHve08c=",0)</f>
        <v>#REF!</v>
      </c>
      <c r="GS113" s="34" t="e">
        <f>IF(#REF!,"AAAAAHve08g=",0)</f>
        <v>#REF!</v>
      </c>
      <c r="GT113" s="34" t="e">
        <f>IF(#REF!,"AAAAAHve08k=",0)</f>
        <v>#REF!</v>
      </c>
      <c r="GU113" s="34" t="e">
        <f>IF(#REF!,"AAAAAHve08o=",0)</f>
        <v>#REF!</v>
      </c>
      <c r="GV113" s="34" t="e">
        <f>IF(#REF!,"AAAAAHve08s=",0)</f>
        <v>#REF!</v>
      </c>
      <c r="GW113" s="34" t="e">
        <f>IF(#REF!,"AAAAAHve08w=",0)</f>
        <v>#REF!</v>
      </c>
      <c r="GX113" s="34" t="e">
        <f>IF(#REF!,"AAAAAHve080=",0)</f>
        <v>#REF!</v>
      </c>
      <c r="GY113" s="34" t="e">
        <f>IF(#REF!,"AAAAAHve084=",0)</f>
        <v>#REF!</v>
      </c>
      <c r="GZ113" s="34" t="e">
        <f>IF(#REF!,"AAAAAHve088=",0)</f>
        <v>#REF!</v>
      </c>
      <c r="HA113" s="34" t="e">
        <f>IF(#REF!,"AAAAAHve09A=",0)</f>
        <v>#REF!</v>
      </c>
      <c r="HB113" s="34" t="e">
        <f>IF(#REF!,"AAAAAHve09E=",0)</f>
        <v>#REF!</v>
      </c>
      <c r="HC113" s="34" t="e">
        <f>IF(#REF!,"AAAAAHve09I=",0)</f>
        <v>#REF!</v>
      </c>
      <c r="HD113" s="34" t="e">
        <f>IF(#REF!,"AAAAAHve09M=",0)</f>
        <v>#REF!</v>
      </c>
      <c r="HE113" s="34" t="e">
        <f>IF(#REF!,"AAAAAHve09Q=",0)</f>
        <v>#REF!</v>
      </c>
      <c r="HF113" s="34" t="e">
        <f>IF(#REF!,"AAAAAHve09U=",0)</f>
        <v>#REF!</v>
      </c>
      <c r="HG113" s="34" t="e">
        <f>IF(#REF!,"AAAAAHve09Y=",0)</f>
        <v>#REF!</v>
      </c>
      <c r="HH113" s="34" t="e">
        <f>IF(#REF!,"AAAAAHve09c=",0)</f>
        <v>#REF!</v>
      </c>
      <c r="HI113" s="34" t="e">
        <f>IF(#REF!,"AAAAAHve09g=",0)</f>
        <v>#REF!</v>
      </c>
      <c r="HJ113" s="34" t="e">
        <f>IF(#REF!,"AAAAAHve09k=",0)</f>
        <v>#REF!</v>
      </c>
      <c r="HK113" s="34" t="e">
        <f>IF(#REF!,"AAAAAHve09o=",0)</f>
        <v>#REF!</v>
      </c>
      <c r="HL113" s="34" t="e">
        <f>IF(#REF!,"AAAAAHve09s=",0)</f>
        <v>#REF!</v>
      </c>
      <c r="HM113" s="34" t="e">
        <f>IF(#REF!,"AAAAAHve09w=",0)</f>
        <v>#REF!</v>
      </c>
      <c r="HN113" s="34" t="e">
        <f>IF(#REF!,"AAAAAHve090=",0)</f>
        <v>#REF!</v>
      </c>
      <c r="HO113" s="34" t="e">
        <f>IF(#REF!,"AAAAAHve094=",0)</f>
        <v>#REF!</v>
      </c>
      <c r="HP113" s="34" t="e">
        <f>IF(#REF!,"AAAAAHve098=",0)</f>
        <v>#REF!</v>
      </c>
      <c r="HQ113" s="34" t="e">
        <f>IF(#REF!,"AAAAAHve0+A=",0)</f>
        <v>#REF!</v>
      </c>
      <c r="HR113" s="34" t="e">
        <f>IF(#REF!,"AAAAAHve0+E=",0)</f>
        <v>#REF!</v>
      </c>
      <c r="HS113" s="34" t="e">
        <f>IF(#REF!,"AAAAAHve0+I=",0)</f>
        <v>#REF!</v>
      </c>
      <c r="HT113" s="34" t="e">
        <f>IF(#REF!,"AAAAAHve0+M=",0)</f>
        <v>#REF!</v>
      </c>
      <c r="HU113" s="34" t="e">
        <f>IF(#REF!,"AAAAAHve0+Q=",0)</f>
        <v>#REF!</v>
      </c>
      <c r="HV113" s="34" t="e">
        <f>IF(#REF!,"AAAAAHve0+U=",0)</f>
        <v>#REF!</v>
      </c>
      <c r="HW113" s="34" t="e">
        <f>IF(#REF!,"AAAAAHve0+Y=",0)</f>
        <v>#REF!</v>
      </c>
      <c r="HX113" s="34" t="e">
        <f>IF(#REF!,"AAAAAHve0+c=",0)</f>
        <v>#REF!</v>
      </c>
      <c r="HY113" s="34" t="e">
        <f>IF(#REF!,"AAAAAHve0+g=",0)</f>
        <v>#REF!</v>
      </c>
      <c r="HZ113" s="34" t="e">
        <f>IF(#REF!,"AAAAAHve0+k=",0)</f>
        <v>#REF!</v>
      </c>
      <c r="IA113" s="34" t="e">
        <f>IF(#REF!,"AAAAAHve0+o=",0)</f>
        <v>#REF!</v>
      </c>
      <c r="IB113" s="34" t="e">
        <f>IF(#REF!,"AAAAAHve0+s=",0)</f>
        <v>#REF!</v>
      </c>
      <c r="IC113" s="34" t="e">
        <f>IF(#REF!,"AAAAAHve0+w=",0)</f>
        <v>#REF!</v>
      </c>
      <c r="ID113" s="34" t="e">
        <f>IF(#REF!,"AAAAAHve0+0=",0)</f>
        <v>#REF!</v>
      </c>
      <c r="IE113" s="34" t="e">
        <f>IF(#REF!,"AAAAAHve0+4=",0)</f>
        <v>#REF!</v>
      </c>
      <c r="IF113" s="34" t="e">
        <f>IF(#REF!,"AAAAAHve0+8=",0)</f>
        <v>#REF!</v>
      </c>
      <c r="IG113" s="34" t="e">
        <f>IF(#REF!,"AAAAAHve0/A=",0)</f>
        <v>#REF!</v>
      </c>
      <c r="IH113" s="34" t="e">
        <f>IF(#REF!,"AAAAAHve0/E=",0)</f>
        <v>#REF!</v>
      </c>
      <c r="II113" s="34" t="e">
        <f>IF(#REF!,"AAAAAHve0/I=",0)</f>
        <v>#REF!</v>
      </c>
      <c r="IJ113" s="34" t="e">
        <f>IF(#REF!,"AAAAAHve0/M=",0)</f>
        <v>#REF!</v>
      </c>
      <c r="IK113" s="34" t="e">
        <f>IF(#REF!,"AAAAAHve0/Q=",0)</f>
        <v>#REF!</v>
      </c>
      <c r="IL113" s="34" t="e">
        <f>IF(#REF!,"AAAAAHve0/U=",0)</f>
        <v>#REF!</v>
      </c>
      <c r="IM113" s="34" t="e">
        <f>IF(#REF!,"AAAAAHve0/Y=",0)</f>
        <v>#REF!</v>
      </c>
      <c r="IN113" s="34" t="e">
        <f>IF(#REF!,"AAAAAHve0/c=",0)</f>
        <v>#REF!</v>
      </c>
      <c r="IO113" s="34" t="e">
        <f>IF(#REF!,"AAAAAHve0/g=",0)</f>
        <v>#REF!</v>
      </c>
      <c r="IP113" s="34" t="e">
        <f>IF(#REF!,"AAAAAHve0/k=",0)</f>
        <v>#REF!</v>
      </c>
      <c r="IQ113" s="34" t="e">
        <f>AND(#REF!,"AAAAAHve0/o=")</f>
        <v>#REF!</v>
      </c>
      <c r="IR113" s="34" t="e">
        <f>AND(#REF!,"AAAAAHve0/s=")</f>
        <v>#REF!</v>
      </c>
      <c r="IS113" s="34" t="e">
        <f>AND(#REF!,"AAAAAHve0/w=")</f>
        <v>#REF!</v>
      </c>
      <c r="IT113" s="34" t="e">
        <f>AND(#REF!,"AAAAAHve0/0=")</f>
        <v>#REF!</v>
      </c>
      <c r="IU113" s="34" t="e">
        <f>AND(#REF!,"AAAAAHve0/4=")</f>
        <v>#REF!</v>
      </c>
      <c r="IV113" s="34" t="e">
        <f>AND(#REF!,"AAAAAHve0/8=")</f>
        <v>#REF!</v>
      </c>
    </row>
    <row r="114" spans="1:256" ht="12.75" customHeight="1" x14ac:dyDescent="0.2">
      <c r="A114" s="34" t="e">
        <f>AND(#REF!,"AAAAACvXvwA=")</f>
        <v>#REF!</v>
      </c>
      <c r="B114" s="34" t="e">
        <f>AND(#REF!,"AAAAACvXvwE=")</f>
        <v>#REF!</v>
      </c>
      <c r="C114" s="34" t="e">
        <f>AND(#REF!,"AAAAACvXvwI=")</f>
        <v>#REF!</v>
      </c>
      <c r="D114" s="34" t="e">
        <f>AND(#REF!,"AAAAACvXvwM=")</f>
        <v>#REF!</v>
      </c>
      <c r="E114" s="34" t="e">
        <f>AND(#REF!,"AAAAACvXvwQ=")</f>
        <v>#REF!</v>
      </c>
      <c r="F114" s="34" t="e">
        <f>AND(#REF!,"AAAAACvXvwU=")</f>
        <v>#REF!</v>
      </c>
      <c r="G114" s="34" t="e">
        <f>AND(#REF!,"AAAAACvXvwY=")</f>
        <v>#REF!</v>
      </c>
      <c r="H114" s="34" t="e">
        <f>AND(#REF!,"AAAAACvXvwc=")</f>
        <v>#REF!</v>
      </c>
      <c r="I114" s="34" t="e">
        <f>AND(#REF!,"AAAAACvXvwg=")</f>
        <v>#REF!</v>
      </c>
      <c r="J114" s="34" t="e">
        <f>AND(#REF!,"AAAAACvXvwk=")</f>
        <v>#REF!</v>
      </c>
      <c r="K114" s="34" t="e">
        <f>IF(#REF!,"AAAAACvXvwo=",0)</f>
        <v>#REF!</v>
      </c>
      <c r="L114" s="34" t="e">
        <f>AND(#REF!,"AAAAACvXvws=")</f>
        <v>#REF!</v>
      </c>
      <c r="M114" s="34" t="e">
        <f>AND(#REF!,"AAAAACvXvww=")</f>
        <v>#REF!</v>
      </c>
      <c r="N114" s="34" t="e">
        <f>AND(#REF!,"AAAAACvXvw0=")</f>
        <v>#REF!</v>
      </c>
      <c r="O114" s="34" t="e">
        <f>AND(#REF!,"AAAAACvXvw4=")</f>
        <v>#REF!</v>
      </c>
      <c r="P114" s="34" t="e">
        <f>AND(#REF!,"AAAAACvXvw8=")</f>
        <v>#REF!</v>
      </c>
      <c r="Q114" s="34" t="e">
        <f>AND(#REF!,"AAAAACvXvxA=")</f>
        <v>#REF!</v>
      </c>
      <c r="R114" s="34" t="e">
        <f>AND(#REF!,"AAAAACvXvxE=")</f>
        <v>#REF!</v>
      </c>
      <c r="S114" s="34" t="e">
        <f>AND(#REF!,"AAAAACvXvxI=")</f>
        <v>#REF!</v>
      </c>
      <c r="T114" s="34" t="e">
        <f>AND(#REF!,"AAAAACvXvxM=")</f>
        <v>#REF!</v>
      </c>
      <c r="U114" s="34" t="e">
        <f>AND(#REF!,"AAAAACvXvxQ=")</f>
        <v>#REF!</v>
      </c>
      <c r="V114" s="34" t="e">
        <f>AND(#REF!,"AAAAACvXvxU=")</f>
        <v>#REF!</v>
      </c>
      <c r="W114" s="34" t="e">
        <f>AND(#REF!,"AAAAACvXvxY=")</f>
        <v>#REF!</v>
      </c>
      <c r="X114" s="34" t="e">
        <f>AND(#REF!,"AAAAACvXvxc=")</f>
        <v>#REF!</v>
      </c>
      <c r="Y114" s="34" t="e">
        <f>AND(#REF!,"AAAAACvXvxg=")</f>
        <v>#REF!</v>
      </c>
      <c r="Z114" s="34" t="e">
        <f>AND(#REF!,"AAAAACvXvxk=")</f>
        <v>#REF!</v>
      </c>
      <c r="AA114" s="34" t="e">
        <f>AND(#REF!,"AAAAACvXvxo=")</f>
        <v>#REF!</v>
      </c>
      <c r="AB114" s="34" t="e">
        <f>IF(#REF!,"AAAAACvXvxs=",0)</f>
        <v>#REF!</v>
      </c>
      <c r="AC114" s="34" t="e">
        <f>AND(#REF!,"AAAAACvXvxw=")</f>
        <v>#REF!</v>
      </c>
      <c r="AD114" s="34" t="e">
        <f>AND(#REF!,"AAAAACvXvx0=")</f>
        <v>#REF!</v>
      </c>
      <c r="AE114" s="34" t="e">
        <f>AND(#REF!,"AAAAACvXvx4=")</f>
        <v>#REF!</v>
      </c>
      <c r="AF114" s="34" t="e">
        <f>AND(#REF!,"AAAAACvXvx8=")</f>
        <v>#REF!</v>
      </c>
      <c r="AG114" s="34" t="e">
        <f>AND(#REF!,"AAAAACvXvyA=")</f>
        <v>#REF!</v>
      </c>
      <c r="AH114" s="34" t="e">
        <f>AND(#REF!,"AAAAACvXvyE=")</f>
        <v>#REF!</v>
      </c>
      <c r="AI114" s="34" t="e">
        <f>AND(#REF!,"AAAAACvXvyI=")</f>
        <v>#REF!</v>
      </c>
      <c r="AJ114" s="34" t="e">
        <f>AND(#REF!,"AAAAACvXvyM=")</f>
        <v>#REF!</v>
      </c>
      <c r="AK114" s="34" t="e">
        <f>AND(#REF!,"AAAAACvXvyQ=")</f>
        <v>#REF!</v>
      </c>
      <c r="AL114" s="34" t="e">
        <f>AND(#REF!,"AAAAACvXvyU=")</f>
        <v>#REF!</v>
      </c>
      <c r="AM114" s="34" t="e">
        <f>AND(#REF!,"AAAAACvXvyY=")</f>
        <v>#REF!</v>
      </c>
      <c r="AN114" s="34" t="e">
        <f>AND(#REF!,"AAAAACvXvyc=")</f>
        <v>#REF!</v>
      </c>
      <c r="AO114" s="34" t="e">
        <f>AND(#REF!,"AAAAACvXvyg=")</f>
        <v>#REF!</v>
      </c>
      <c r="AP114" s="34" t="e">
        <f>AND(#REF!,"AAAAACvXvyk=")</f>
        <v>#REF!</v>
      </c>
      <c r="AQ114" s="34" t="e">
        <f>AND(#REF!,"AAAAACvXvyo=")</f>
        <v>#REF!</v>
      </c>
      <c r="AR114" s="34" t="e">
        <f>AND(#REF!,"AAAAACvXvys=")</f>
        <v>#REF!</v>
      </c>
      <c r="AS114" s="34" t="e">
        <f>IF(#REF!,"AAAAACvXvyw=",0)</f>
        <v>#REF!</v>
      </c>
      <c r="AT114" s="34" t="e">
        <f>AND(#REF!,"AAAAACvXvy0=")</f>
        <v>#REF!</v>
      </c>
      <c r="AU114" s="34" t="e">
        <f>AND(#REF!,"AAAAACvXvy4=")</f>
        <v>#REF!</v>
      </c>
      <c r="AV114" s="34" t="e">
        <f>AND(#REF!,"AAAAACvXvy8=")</f>
        <v>#REF!</v>
      </c>
      <c r="AW114" s="34" t="e">
        <f>AND(#REF!,"AAAAACvXvzA=")</f>
        <v>#REF!</v>
      </c>
      <c r="AX114" s="34" t="e">
        <f>AND(#REF!,"AAAAACvXvzE=")</f>
        <v>#REF!</v>
      </c>
      <c r="AY114" s="34" t="e">
        <f>AND(#REF!,"AAAAACvXvzI=")</f>
        <v>#REF!</v>
      </c>
      <c r="AZ114" s="34" t="e">
        <f>AND(#REF!,"AAAAACvXvzM=")</f>
        <v>#REF!</v>
      </c>
      <c r="BA114" s="34" t="e">
        <f>AND(#REF!,"AAAAACvXvzQ=")</f>
        <v>#REF!</v>
      </c>
      <c r="BB114" s="34" t="e">
        <f>AND(#REF!,"AAAAACvXvzU=")</f>
        <v>#REF!</v>
      </c>
      <c r="BC114" s="34" t="e">
        <f>AND(#REF!,"AAAAACvXvzY=")</f>
        <v>#REF!</v>
      </c>
      <c r="BD114" s="34" t="e">
        <f>AND(#REF!,"AAAAACvXvzc=")</f>
        <v>#REF!</v>
      </c>
      <c r="BE114" s="34" t="e">
        <f>AND(#REF!,"AAAAACvXvzg=")</f>
        <v>#REF!</v>
      </c>
      <c r="BF114" s="34" t="e">
        <f>AND(#REF!,"AAAAACvXvzk=")</f>
        <v>#REF!</v>
      </c>
      <c r="BG114" s="34" t="e">
        <f>AND(#REF!,"AAAAACvXvzo=")</f>
        <v>#REF!</v>
      </c>
      <c r="BH114" s="34" t="e">
        <f>AND(#REF!,"AAAAACvXvzs=")</f>
        <v>#REF!</v>
      </c>
      <c r="BI114" s="34" t="e">
        <f>AND(#REF!,"AAAAACvXvzw=")</f>
        <v>#REF!</v>
      </c>
      <c r="BJ114" s="34" t="e">
        <f>IF(#REF!,"AAAAACvXvz0=",0)</f>
        <v>#REF!</v>
      </c>
      <c r="BK114" s="34" t="e">
        <f>AND(#REF!,"AAAAACvXvz4=")</f>
        <v>#REF!</v>
      </c>
      <c r="BL114" s="34" t="e">
        <f>AND(#REF!,"AAAAACvXvz8=")</f>
        <v>#REF!</v>
      </c>
      <c r="BM114" s="34" t="e">
        <f>AND(#REF!,"AAAAACvXv0A=")</f>
        <v>#REF!</v>
      </c>
      <c r="BN114" s="34" t="e">
        <f>AND(#REF!,"AAAAACvXv0E=")</f>
        <v>#REF!</v>
      </c>
      <c r="BO114" s="34" t="e">
        <f>AND(#REF!,"AAAAACvXv0I=")</f>
        <v>#REF!</v>
      </c>
      <c r="BP114" s="34" t="e">
        <f>AND(#REF!,"AAAAACvXv0M=")</f>
        <v>#REF!</v>
      </c>
      <c r="BQ114" s="34" t="e">
        <f>AND(#REF!,"AAAAACvXv0Q=")</f>
        <v>#REF!</v>
      </c>
      <c r="BR114" s="34" t="e">
        <f>AND(#REF!,"AAAAACvXv0U=")</f>
        <v>#REF!</v>
      </c>
      <c r="BS114" s="34" t="e">
        <f>AND(#REF!,"AAAAACvXv0Y=")</f>
        <v>#REF!</v>
      </c>
      <c r="BT114" s="34" t="e">
        <f>AND(#REF!,"AAAAACvXv0c=")</f>
        <v>#REF!</v>
      </c>
      <c r="BU114" s="34" t="e">
        <f>AND(#REF!,"AAAAACvXv0g=")</f>
        <v>#REF!</v>
      </c>
      <c r="BV114" s="34" t="e">
        <f>AND(#REF!,"AAAAACvXv0k=")</f>
        <v>#REF!</v>
      </c>
      <c r="BW114" s="34" t="e">
        <f>AND(#REF!,"AAAAACvXv0o=")</f>
        <v>#REF!</v>
      </c>
      <c r="BX114" s="34" t="e">
        <f>AND(#REF!,"AAAAACvXv0s=")</f>
        <v>#REF!</v>
      </c>
      <c r="BY114" s="34" t="e">
        <f>AND(#REF!,"AAAAACvXv0w=")</f>
        <v>#REF!</v>
      </c>
      <c r="BZ114" s="34" t="e">
        <f>AND(#REF!,"AAAAACvXv00=")</f>
        <v>#REF!</v>
      </c>
      <c r="CA114" s="34" t="e">
        <f>IF(#REF!,"AAAAACvXv04=",0)</f>
        <v>#REF!</v>
      </c>
      <c r="CB114" s="34" t="e">
        <f>AND(#REF!,"AAAAACvXv08=")</f>
        <v>#REF!</v>
      </c>
      <c r="CC114" s="34" t="e">
        <f>AND(#REF!,"AAAAACvXv1A=")</f>
        <v>#REF!</v>
      </c>
      <c r="CD114" s="34" t="e">
        <f>AND(#REF!,"AAAAACvXv1E=")</f>
        <v>#REF!</v>
      </c>
      <c r="CE114" s="34" t="e">
        <f>AND(#REF!,"AAAAACvXv1I=")</f>
        <v>#REF!</v>
      </c>
      <c r="CF114" s="34" t="e">
        <f>AND(#REF!,"AAAAACvXv1M=")</f>
        <v>#REF!</v>
      </c>
      <c r="CG114" s="34" t="e">
        <f>AND(#REF!,"AAAAACvXv1Q=")</f>
        <v>#REF!</v>
      </c>
      <c r="CH114" s="34" t="e">
        <f>AND(#REF!,"AAAAACvXv1U=")</f>
        <v>#REF!</v>
      </c>
      <c r="CI114" s="34" t="e">
        <f>AND(#REF!,"AAAAACvXv1Y=")</f>
        <v>#REF!</v>
      </c>
      <c r="CJ114" s="34" t="e">
        <f>AND(#REF!,"AAAAACvXv1c=")</f>
        <v>#REF!</v>
      </c>
      <c r="CK114" s="34" t="e">
        <f>AND(#REF!,"AAAAACvXv1g=")</f>
        <v>#REF!</v>
      </c>
      <c r="CL114" s="34" t="e">
        <f>AND(#REF!,"AAAAACvXv1k=")</f>
        <v>#REF!</v>
      </c>
      <c r="CM114" s="34" t="e">
        <f>AND(#REF!,"AAAAACvXv1o=")</f>
        <v>#REF!</v>
      </c>
      <c r="CN114" s="34" t="e">
        <f>AND(#REF!,"AAAAACvXv1s=")</f>
        <v>#REF!</v>
      </c>
      <c r="CO114" s="34" t="e">
        <f>AND(#REF!,"AAAAACvXv1w=")</f>
        <v>#REF!</v>
      </c>
      <c r="CP114" s="34" t="e">
        <f>AND(#REF!,"AAAAACvXv10=")</f>
        <v>#REF!</v>
      </c>
      <c r="CQ114" s="34" t="e">
        <f>AND(#REF!,"AAAAACvXv14=")</f>
        <v>#REF!</v>
      </c>
      <c r="CR114" s="34" t="e">
        <f>IF(#REF!,"AAAAACvXv18=",0)</f>
        <v>#REF!</v>
      </c>
      <c r="CS114" s="34" t="e">
        <f>AND(#REF!,"AAAAACvXv2A=")</f>
        <v>#REF!</v>
      </c>
      <c r="CT114" s="34" t="e">
        <f>AND(#REF!,"AAAAACvXv2E=")</f>
        <v>#REF!</v>
      </c>
      <c r="CU114" s="34" t="e">
        <f>AND(#REF!,"AAAAACvXv2I=")</f>
        <v>#REF!</v>
      </c>
      <c r="CV114" s="34" t="e">
        <f>AND(#REF!,"AAAAACvXv2M=")</f>
        <v>#REF!</v>
      </c>
      <c r="CW114" s="34" t="e">
        <f>AND(#REF!,"AAAAACvXv2Q=")</f>
        <v>#REF!</v>
      </c>
      <c r="CX114" s="34" t="e">
        <f>AND(#REF!,"AAAAACvXv2U=")</f>
        <v>#REF!</v>
      </c>
      <c r="CY114" s="34" t="e">
        <f>AND(#REF!,"AAAAACvXv2Y=")</f>
        <v>#REF!</v>
      </c>
      <c r="CZ114" s="34" t="e">
        <f>AND(#REF!,"AAAAACvXv2c=")</f>
        <v>#REF!</v>
      </c>
      <c r="DA114" s="34" t="e">
        <f>AND(#REF!,"AAAAACvXv2g=")</f>
        <v>#REF!</v>
      </c>
      <c r="DB114" s="34" t="e">
        <f>AND(#REF!,"AAAAACvXv2k=")</f>
        <v>#REF!</v>
      </c>
      <c r="DC114" s="34" t="e">
        <f>AND(#REF!,"AAAAACvXv2o=")</f>
        <v>#REF!</v>
      </c>
      <c r="DD114" s="34" t="e">
        <f>AND(#REF!,"AAAAACvXv2s=")</f>
        <v>#REF!</v>
      </c>
      <c r="DE114" s="34" t="e">
        <f>AND(#REF!,"AAAAACvXv2w=")</f>
        <v>#REF!</v>
      </c>
      <c r="DF114" s="34" t="e">
        <f>AND(#REF!,"AAAAACvXv20=")</f>
        <v>#REF!</v>
      </c>
      <c r="DG114" s="34" t="e">
        <f>AND(#REF!,"AAAAACvXv24=")</f>
        <v>#REF!</v>
      </c>
      <c r="DH114" s="34" t="e">
        <f>AND(#REF!,"AAAAACvXv28=")</f>
        <v>#REF!</v>
      </c>
      <c r="DI114" s="34" t="e">
        <f>IF(#REF!,"AAAAACvXv3A=",0)</f>
        <v>#REF!</v>
      </c>
      <c r="DJ114" s="34" t="e">
        <f>AND(#REF!,"AAAAACvXv3E=")</f>
        <v>#REF!</v>
      </c>
      <c r="DK114" s="34" t="e">
        <f>AND(#REF!,"AAAAACvXv3I=")</f>
        <v>#REF!</v>
      </c>
      <c r="DL114" s="34" t="e">
        <f>AND(#REF!,"AAAAACvXv3M=")</f>
        <v>#REF!</v>
      </c>
      <c r="DM114" s="34" t="e">
        <f>AND(#REF!,"AAAAACvXv3Q=")</f>
        <v>#REF!</v>
      </c>
      <c r="DN114" s="34" t="e">
        <f>AND(#REF!,"AAAAACvXv3U=")</f>
        <v>#REF!</v>
      </c>
      <c r="DO114" s="34" t="e">
        <f>AND(#REF!,"AAAAACvXv3Y=")</f>
        <v>#REF!</v>
      </c>
      <c r="DP114" s="34" t="e">
        <f>AND(#REF!,"AAAAACvXv3c=")</f>
        <v>#REF!</v>
      </c>
      <c r="DQ114" s="34" t="e">
        <f>AND(#REF!,"AAAAACvXv3g=")</f>
        <v>#REF!</v>
      </c>
      <c r="DR114" s="34" t="e">
        <f>AND(#REF!,"AAAAACvXv3k=")</f>
        <v>#REF!</v>
      </c>
      <c r="DS114" s="34" t="e">
        <f>AND(#REF!,"AAAAACvXv3o=")</f>
        <v>#REF!</v>
      </c>
      <c r="DT114" s="34" t="e">
        <f>AND(#REF!,"AAAAACvXv3s=")</f>
        <v>#REF!</v>
      </c>
      <c r="DU114" s="34" t="e">
        <f>AND(#REF!,"AAAAACvXv3w=")</f>
        <v>#REF!</v>
      </c>
      <c r="DV114" s="34" t="e">
        <f>AND(#REF!,"AAAAACvXv30=")</f>
        <v>#REF!</v>
      </c>
      <c r="DW114" s="34" t="e">
        <f>AND(#REF!,"AAAAACvXv34=")</f>
        <v>#REF!</v>
      </c>
      <c r="DX114" s="34" t="e">
        <f>AND(#REF!,"AAAAACvXv38=")</f>
        <v>#REF!</v>
      </c>
      <c r="DY114" s="34" t="e">
        <f>AND(#REF!,"AAAAACvXv4A=")</f>
        <v>#REF!</v>
      </c>
      <c r="DZ114" s="34" t="e">
        <f>IF(#REF!,"AAAAACvXv4E=",0)</f>
        <v>#REF!</v>
      </c>
      <c r="EA114" s="34" t="e">
        <f>AND(#REF!,"AAAAACvXv4I=")</f>
        <v>#REF!</v>
      </c>
      <c r="EB114" s="34" t="e">
        <f>AND(#REF!,"AAAAACvXv4M=")</f>
        <v>#REF!</v>
      </c>
      <c r="EC114" s="34" t="e">
        <f>AND(#REF!,"AAAAACvXv4Q=")</f>
        <v>#REF!</v>
      </c>
      <c r="ED114" s="34" t="e">
        <f>AND(#REF!,"AAAAACvXv4U=")</f>
        <v>#REF!</v>
      </c>
      <c r="EE114" s="34" t="e">
        <f>AND(#REF!,"AAAAACvXv4Y=")</f>
        <v>#REF!</v>
      </c>
      <c r="EF114" s="34" t="e">
        <f>AND(#REF!,"AAAAACvXv4c=")</f>
        <v>#REF!</v>
      </c>
      <c r="EG114" s="34" t="e">
        <f>AND(#REF!,"AAAAACvXv4g=")</f>
        <v>#REF!</v>
      </c>
      <c r="EH114" s="34" t="e">
        <f>AND(#REF!,"AAAAACvXv4k=")</f>
        <v>#REF!</v>
      </c>
      <c r="EI114" s="34" t="e">
        <f>AND(#REF!,"AAAAACvXv4o=")</f>
        <v>#REF!</v>
      </c>
      <c r="EJ114" s="34" t="e">
        <f>AND(#REF!,"AAAAACvXv4s=")</f>
        <v>#REF!</v>
      </c>
      <c r="EK114" s="34" t="e">
        <f>AND(#REF!,"AAAAACvXv4w=")</f>
        <v>#REF!</v>
      </c>
      <c r="EL114" s="34" t="e">
        <f>AND(#REF!,"AAAAACvXv40=")</f>
        <v>#REF!</v>
      </c>
      <c r="EM114" s="34" t="e">
        <f>AND(#REF!,"AAAAACvXv44=")</f>
        <v>#REF!</v>
      </c>
      <c r="EN114" s="34" t="e">
        <f>AND(#REF!,"AAAAACvXv48=")</f>
        <v>#REF!</v>
      </c>
      <c r="EO114" s="34" t="e">
        <f>AND(#REF!,"AAAAACvXv5A=")</f>
        <v>#REF!</v>
      </c>
      <c r="EP114" s="34" t="e">
        <f>AND(#REF!,"AAAAACvXv5E=")</f>
        <v>#REF!</v>
      </c>
      <c r="EQ114" s="34" t="e">
        <f>IF(#REF!,"AAAAACvXv5I=",0)</f>
        <v>#REF!</v>
      </c>
      <c r="ER114" s="34" t="e">
        <f>AND(#REF!,"AAAAACvXv5M=")</f>
        <v>#REF!</v>
      </c>
      <c r="ES114" s="34" t="e">
        <f>AND(#REF!,"AAAAACvXv5Q=")</f>
        <v>#REF!</v>
      </c>
      <c r="ET114" s="34" t="e">
        <f>AND(#REF!,"AAAAACvXv5U=")</f>
        <v>#REF!</v>
      </c>
      <c r="EU114" s="34" t="e">
        <f>AND(#REF!,"AAAAACvXv5Y=")</f>
        <v>#REF!</v>
      </c>
      <c r="EV114" s="34" t="e">
        <f>AND(#REF!,"AAAAACvXv5c=")</f>
        <v>#REF!</v>
      </c>
      <c r="EW114" s="34" t="e">
        <f>AND(#REF!,"AAAAACvXv5g=")</f>
        <v>#REF!</v>
      </c>
      <c r="EX114" s="34" t="e">
        <f>AND(#REF!,"AAAAACvXv5k=")</f>
        <v>#REF!</v>
      </c>
      <c r="EY114" s="34" t="e">
        <f>AND(#REF!,"AAAAACvXv5o=")</f>
        <v>#REF!</v>
      </c>
      <c r="EZ114" s="34" t="e">
        <f>AND(#REF!,"AAAAACvXv5s=")</f>
        <v>#REF!</v>
      </c>
      <c r="FA114" s="34" t="e">
        <f>AND(#REF!,"AAAAACvXv5w=")</f>
        <v>#REF!</v>
      </c>
      <c r="FB114" s="34" t="e">
        <f>AND(#REF!,"AAAAACvXv50=")</f>
        <v>#REF!</v>
      </c>
      <c r="FC114" s="34" t="e">
        <f>AND(#REF!,"AAAAACvXv54=")</f>
        <v>#REF!</v>
      </c>
      <c r="FD114" s="34" t="e">
        <f>AND(#REF!,"AAAAACvXv58=")</f>
        <v>#REF!</v>
      </c>
      <c r="FE114" s="34" t="e">
        <f>AND(#REF!,"AAAAACvXv6A=")</f>
        <v>#REF!</v>
      </c>
      <c r="FF114" s="34" t="e">
        <f>AND(#REF!,"AAAAACvXv6E=")</f>
        <v>#REF!</v>
      </c>
      <c r="FG114" s="34" t="e">
        <f>AND(#REF!,"AAAAACvXv6I=")</f>
        <v>#REF!</v>
      </c>
      <c r="FH114" s="34" t="e">
        <f>IF(#REF!,"AAAAACvXv6M=",0)</f>
        <v>#REF!</v>
      </c>
      <c r="FI114" s="34" t="e">
        <f>AND(#REF!,"AAAAACvXv6Q=")</f>
        <v>#REF!</v>
      </c>
      <c r="FJ114" s="34" t="e">
        <f>AND(#REF!,"AAAAACvXv6U=")</f>
        <v>#REF!</v>
      </c>
      <c r="FK114" s="34" t="e">
        <f>AND(#REF!,"AAAAACvXv6Y=")</f>
        <v>#REF!</v>
      </c>
      <c r="FL114" s="34" t="e">
        <f>AND(#REF!,"AAAAACvXv6c=")</f>
        <v>#REF!</v>
      </c>
      <c r="FM114" s="34" t="e">
        <f>AND(#REF!,"AAAAACvXv6g=")</f>
        <v>#REF!</v>
      </c>
      <c r="FN114" s="34" t="e">
        <f>AND(#REF!,"AAAAACvXv6k=")</f>
        <v>#REF!</v>
      </c>
      <c r="FO114" s="34" t="e">
        <f>AND(#REF!,"AAAAACvXv6o=")</f>
        <v>#REF!</v>
      </c>
      <c r="FP114" s="34" t="e">
        <f>AND(#REF!,"AAAAACvXv6s=")</f>
        <v>#REF!</v>
      </c>
      <c r="FQ114" s="34" t="e">
        <f>AND(#REF!,"AAAAACvXv6w=")</f>
        <v>#REF!</v>
      </c>
      <c r="FR114" s="34" t="e">
        <f>AND(#REF!,"AAAAACvXv60=")</f>
        <v>#REF!</v>
      </c>
      <c r="FS114" s="34" t="e">
        <f>AND(#REF!,"AAAAACvXv64=")</f>
        <v>#REF!</v>
      </c>
      <c r="FT114" s="34" t="e">
        <f>AND(#REF!,"AAAAACvXv68=")</f>
        <v>#REF!</v>
      </c>
      <c r="FU114" s="34" t="e">
        <f>AND(#REF!,"AAAAACvXv7A=")</f>
        <v>#REF!</v>
      </c>
      <c r="FV114" s="34" t="e">
        <f>AND(#REF!,"AAAAACvXv7E=")</f>
        <v>#REF!</v>
      </c>
      <c r="FW114" s="34" t="e">
        <f>AND(#REF!,"AAAAACvXv7I=")</f>
        <v>#REF!</v>
      </c>
      <c r="FX114" s="34" t="e">
        <f>AND(#REF!,"AAAAACvXv7M=")</f>
        <v>#REF!</v>
      </c>
      <c r="FY114" s="34" t="e">
        <f>IF(#REF!,"AAAAACvXv7Q=",0)</f>
        <v>#REF!</v>
      </c>
      <c r="FZ114" s="34" t="e">
        <f>AND(#REF!,"AAAAACvXv7U=")</f>
        <v>#REF!</v>
      </c>
      <c r="GA114" s="34" t="e">
        <f>AND(#REF!,"AAAAACvXv7Y=")</f>
        <v>#REF!</v>
      </c>
      <c r="GB114" s="34" t="e">
        <f>AND(#REF!,"AAAAACvXv7c=")</f>
        <v>#REF!</v>
      </c>
      <c r="GC114" s="34" t="e">
        <f>AND(#REF!,"AAAAACvXv7g=")</f>
        <v>#REF!</v>
      </c>
      <c r="GD114" s="34" t="e">
        <f>AND(#REF!,"AAAAACvXv7k=")</f>
        <v>#REF!</v>
      </c>
      <c r="GE114" s="34" t="e">
        <f>AND(#REF!,"AAAAACvXv7o=")</f>
        <v>#REF!</v>
      </c>
      <c r="GF114" s="34" t="e">
        <f>AND(#REF!,"AAAAACvXv7s=")</f>
        <v>#REF!</v>
      </c>
      <c r="GG114" s="34" t="e">
        <f>AND(#REF!,"AAAAACvXv7w=")</f>
        <v>#REF!</v>
      </c>
      <c r="GH114" s="34" t="e">
        <f>AND(#REF!,"AAAAACvXv70=")</f>
        <v>#REF!</v>
      </c>
      <c r="GI114" s="34" t="e">
        <f>AND(#REF!,"AAAAACvXv74=")</f>
        <v>#REF!</v>
      </c>
      <c r="GJ114" s="34" t="e">
        <f>AND(#REF!,"AAAAACvXv78=")</f>
        <v>#REF!</v>
      </c>
      <c r="GK114" s="34" t="e">
        <f>AND(#REF!,"AAAAACvXv8A=")</f>
        <v>#REF!</v>
      </c>
      <c r="GL114" s="34" t="e">
        <f>AND(#REF!,"AAAAACvXv8E=")</f>
        <v>#REF!</v>
      </c>
      <c r="GM114" s="34" t="e">
        <f>AND(#REF!,"AAAAACvXv8I=")</f>
        <v>#REF!</v>
      </c>
      <c r="GN114" s="34" t="e">
        <f>AND(#REF!,"AAAAACvXv8M=")</f>
        <v>#REF!</v>
      </c>
      <c r="GO114" s="34" t="e">
        <f>AND(#REF!,"AAAAACvXv8Q=")</f>
        <v>#REF!</v>
      </c>
      <c r="GP114" s="34" t="e">
        <f>IF(#REF!,"AAAAACvXv8U=",0)</f>
        <v>#REF!</v>
      </c>
      <c r="GQ114" s="34" t="e">
        <f>AND(#REF!,"AAAAACvXv8Y=")</f>
        <v>#REF!</v>
      </c>
      <c r="GR114" s="34" t="e">
        <f>AND(#REF!,"AAAAACvXv8c=")</f>
        <v>#REF!</v>
      </c>
      <c r="GS114" s="34" t="e">
        <f>AND(#REF!,"AAAAACvXv8g=")</f>
        <v>#REF!</v>
      </c>
      <c r="GT114" s="34" t="e">
        <f>AND(#REF!,"AAAAACvXv8k=")</f>
        <v>#REF!</v>
      </c>
      <c r="GU114" s="34" t="e">
        <f>AND(#REF!,"AAAAACvXv8o=")</f>
        <v>#REF!</v>
      </c>
      <c r="GV114" s="34" t="e">
        <f>AND(#REF!,"AAAAACvXv8s=")</f>
        <v>#REF!</v>
      </c>
      <c r="GW114" s="34" t="e">
        <f>AND(#REF!,"AAAAACvXv8w=")</f>
        <v>#REF!</v>
      </c>
      <c r="GX114" s="34" t="e">
        <f>AND(#REF!,"AAAAACvXv80=")</f>
        <v>#REF!</v>
      </c>
      <c r="GY114" s="34" t="e">
        <f>AND(#REF!,"AAAAACvXv84=")</f>
        <v>#REF!</v>
      </c>
      <c r="GZ114" s="34" t="e">
        <f>AND(#REF!,"AAAAACvXv88=")</f>
        <v>#REF!</v>
      </c>
      <c r="HA114" s="34" t="e">
        <f>AND(#REF!,"AAAAACvXv9A=")</f>
        <v>#REF!</v>
      </c>
      <c r="HB114" s="34" t="e">
        <f>AND(#REF!,"AAAAACvXv9E=")</f>
        <v>#REF!</v>
      </c>
      <c r="HC114" s="34" t="e">
        <f>AND(#REF!,"AAAAACvXv9I=")</f>
        <v>#REF!</v>
      </c>
      <c r="HD114" s="34" t="e">
        <f>AND(#REF!,"AAAAACvXv9M=")</f>
        <v>#REF!</v>
      </c>
      <c r="HE114" s="34" t="e">
        <f>AND(#REF!,"AAAAACvXv9Q=")</f>
        <v>#REF!</v>
      </c>
      <c r="HF114" s="34" t="e">
        <f>AND(#REF!,"AAAAACvXv9U=")</f>
        <v>#REF!</v>
      </c>
      <c r="HG114" s="34" t="e">
        <f>IF(#REF!,"AAAAACvXv9Y=",0)</f>
        <v>#REF!</v>
      </c>
      <c r="HH114" s="34" t="e">
        <f>AND(#REF!,"AAAAACvXv9c=")</f>
        <v>#REF!</v>
      </c>
      <c r="HI114" s="34" t="e">
        <f>AND(#REF!,"AAAAACvXv9g=")</f>
        <v>#REF!</v>
      </c>
      <c r="HJ114" s="34" t="e">
        <f>AND(#REF!,"AAAAACvXv9k=")</f>
        <v>#REF!</v>
      </c>
      <c r="HK114" s="34" t="e">
        <f>AND(#REF!,"AAAAACvXv9o=")</f>
        <v>#REF!</v>
      </c>
      <c r="HL114" s="34" t="e">
        <f>AND(#REF!,"AAAAACvXv9s=")</f>
        <v>#REF!</v>
      </c>
      <c r="HM114" s="34" t="e">
        <f>AND(#REF!,"AAAAACvXv9w=")</f>
        <v>#REF!</v>
      </c>
      <c r="HN114" s="34" t="e">
        <f>AND(#REF!,"AAAAACvXv90=")</f>
        <v>#REF!</v>
      </c>
      <c r="HO114" s="34" t="e">
        <f>AND(#REF!,"AAAAACvXv94=")</f>
        <v>#REF!</v>
      </c>
      <c r="HP114" s="34" t="e">
        <f>AND(#REF!,"AAAAACvXv98=")</f>
        <v>#REF!</v>
      </c>
      <c r="HQ114" s="34" t="e">
        <f>AND(#REF!,"AAAAACvXv+A=")</f>
        <v>#REF!</v>
      </c>
      <c r="HR114" s="34" t="e">
        <f>AND(#REF!,"AAAAACvXv+E=")</f>
        <v>#REF!</v>
      </c>
      <c r="HS114" s="34" t="e">
        <f>AND(#REF!,"AAAAACvXv+I=")</f>
        <v>#REF!</v>
      </c>
      <c r="HT114" s="34" t="e">
        <f>AND(#REF!,"AAAAACvXv+M=")</f>
        <v>#REF!</v>
      </c>
      <c r="HU114" s="34" t="e">
        <f>AND(#REF!,"AAAAACvXv+Q=")</f>
        <v>#REF!</v>
      </c>
      <c r="HV114" s="34" t="e">
        <f>AND(#REF!,"AAAAACvXv+U=")</f>
        <v>#REF!</v>
      </c>
      <c r="HW114" s="34" t="e">
        <f>AND(#REF!,"AAAAACvXv+Y=")</f>
        <v>#REF!</v>
      </c>
      <c r="HX114" s="34" t="e">
        <f>IF(#REF!,"AAAAACvXv+c=",0)</f>
        <v>#REF!</v>
      </c>
      <c r="HY114" s="34" t="e">
        <f>AND(#REF!,"AAAAACvXv+g=")</f>
        <v>#REF!</v>
      </c>
      <c r="HZ114" s="34" t="e">
        <f>AND(#REF!,"AAAAACvXv+k=")</f>
        <v>#REF!</v>
      </c>
      <c r="IA114" s="34" t="e">
        <f>AND(#REF!,"AAAAACvXv+o=")</f>
        <v>#REF!</v>
      </c>
      <c r="IB114" s="34" t="e">
        <f>AND(#REF!,"AAAAACvXv+s=")</f>
        <v>#REF!</v>
      </c>
      <c r="IC114" s="34" t="e">
        <f>AND(#REF!,"AAAAACvXv+w=")</f>
        <v>#REF!</v>
      </c>
      <c r="ID114" s="34" t="e">
        <f>AND(#REF!,"AAAAACvXv+0=")</f>
        <v>#REF!</v>
      </c>
      <c r="IE114" s="34" t="e">
        <f>AND(#REF!,"AAAAACvXv+4=")</f>
        <v>#REF!</v>
      </c>
      <c r="IF114" s="34" t="e">
        <f>AND(#REF!,"AAAAACvXv+8=")</f>
        <v>#REF!</v>
      </c>
      <c r="IG114" s="34" t="e">
        <f>AND(#REF!,"AAAAACvXv/A=")</f>
        <v>#REF!</v>
      </c>
      <c r="IH114" s="34" t="e">
        <f>AND(#REF!,"AAAAACvXv/E=")</f>
        <v>#REF!</v>
      </c>
      <c r="II114" s="34" t="e">
        <f>AND(#REF!,"AAAAACvXv/I=")</f>
        <v>#REF!</v>
      </c>
      <c r="IJ114" s="34" t="e">
        <f>AND(#REF!,"AAAAACvXv/M=")</f>
        <v>#REF!</v>
      </c>
      <c r="IK114" s="34" t="e">
        <f>AND(#REF!,"AAAAACvXv/Q=")</f>
        <v>#REF!</v>
      </c>
      <c r="IL114" s="34" t="e">
        <f>AND(#REF!,"AAAAACvXv/U=")</f>
        <v>#REF!</v>
      </c>
      <c r="IM114" s="34" t="e">
        <f>AND(#REF!,"AAAAACvXv/Y=")</f>
        <v>#REF!</v>
      </c>
      <c r="IN114" s="34" t="e">
        <f>AND(#REF!,"AAAAACvXv/c=")</f>
        <v>#REF!</v>
      </c>
      <c r="IO114" s="34" t="e">
        <f>IF(#REF!,"AAAAACvXv/g=",0)</f>
        <v>#REF!</v>
      </c>
      <c r="IP114" s="34" t="e">
        <f>AND(#REF!,"AAAAACvXv/k=")</f>
        <v>#REF!</v>
      </c>
      <c r="IQ114" s="34" t="e">
        <f>AND(#REF!,"AAAAACvXv/o=")</f>
        <v>#REF!</v>
      </c>
      <c r="IR114" s="34" t="e">
        <f>AND(#REF!,"AAAAACvXv/s=")</f>
        <v>#REF!</v>
      </c>
      <c r="IS114" s="34" t="e">
        <f>AND(#REF!,"AAAAACvXv/w=")</f>
        <v>#REF!</v>
      </c>
      <c r="IT114" s="34" t="e">
        <f>AND(#REF!,"AAAAACvXv/0=")</f>
        <v>#REF!</v>
      </c>
      <c r="IU114" s="34" t="e">
        <f>AND(#REF!,"AAAAACvXv/4=")</f>
        <v>#REF!</v>
      </c>
      <c r="IV114" s="34" t="e">
        <f>AND(#REF!,"AAAAACvXv/8=")</f>
        <v>#REF!</v>
      </c>
    </row>
    <row r="115" spans="1:256" ht="12.75" customHeight="1" x14ac:dyDescent="0.2">
      <c r="A115" s="34" t="e">
        <f>AND(#REF!,"AAAAAFKf/QA=")</f>
        <v>#REF!</v>
      </c>
      <c r="B115" s="34" t="e">
        <f>AND(#REF!,"AAAAAFKf/QE=")</f>
        <v>#REF!</v>
      </c>
      <c r="C115" s="34" t="e">
        <f>AND(#REF!,"AAAAAFKf/QI=")</f>
        <v>#REF!</v>
      </c>
      <c r="D115" s="34" t="e">
        <f>AND(#REF!,"AAAAAFKf/QM=")</f>
        <v>#REF!</v>
      </c>
      <c r="E115" s="34" t="e">
        <f>AND(#REF!,"AAAAAFKf/QQ=")</f>
        <v>#REF!</v>
      </c>
      <c r="F115" s="34" t="e">
        <f>AND(#REF!,"AAAAAFKf/QU=")</f>
        <v>#REF!</v>
      </c>
      <c r="G115" s="34" t="e">
        <f>AND(#REF!,"AAAAAFKf/QY=")</f>
        <v>#REF!</v>
      </c>
      <c r="H115" s="34" t="e">
        <f>AND(#REF!,"AAAAAFKf/Qc=")</f>
        <v>#REF!</v>
      </c>
      <c r="I115" s="34" t="e">
        <f>AND(#REF!,"AAAAAFKf/Qg=")</f>
        <v>#REF!</v>
      </c>
      <c r="J115" s="34" t="e">
        <f>IF(#REF!,"AAAAAFKf/Qk=",0)</f>
        <v>#REF!</v>
      </c>
      <c r="K115" s="34" t="e">
        <f>AND(#REF!,"AAAAAFKf/Qo=")</f>
        <v>#REF!</v>
      </c>
      <c r="L115" s="34" t="e">
        <f>AND(#REF!,"AAAAAFKf/Qs=")</f>
        <v>#REF!</v>
      </c>
      <c r="M115" s="34" t="e">
        <f>AND(#REF!,"AAAAAFKf/Qw=")</f>
        <v>#REF!</v>
      </c>
      <c r="N115" s="34" t="e">
        <f>AND(#REF!,"AAAAAFKf/Q0=")</f>
        <v>#REF!</v>
      </c>
      <c r="O115" s="34" t="e">
        <f>AND(#REF!,"AAAAAFKf/Q4=")</f>
        <v>#REF!</v>
      </c>
      <c r="P115" s="34" t="e">
        <f>AND(#REF!,"AAAAAFKf/Q8=")</f>
        <v>#REF!</v>
      </c>
      <c r="Q115" s="34" t="e">
        <f>AND(#REF!,"AAAAAFKf/RA=")</f>
        <v>#REF!</v>
      </c>
      <c r="R115" s="34" t="e">
        <f>AND(#REF!,"AAAAAFKf/RE=")</f>
        <v>#REF!</v>
      </c>
      <c r="S115" s="34" t="e">
        <f>AND(#REF!,"AAAAAFKf/RI=")</f>
        <v>#REF!</v>
      </c>
      <c r="T115" s="34" t="e">
        <f>AND(#REF!,"AAAAAFKf/RM=")</f>
        <v>#REF!</v>
      </c>
      <c r="U115" s="34" t="e">
        <f>AND(#REF!,"AAAAAFKf/RQ=")</f>
        <v>#REF!</v>
      </c>
      <c r="V115" s="34" t="e">
        <f>AND(#REF!,"AAAAAFKf/RU=")</f>
        <v>#REF!</v>
      </c>
      <c r="W115" s="34" t="e">
        <f>AND(#REF!,"AAAAAFKf/RY=")</f>
        <v>#REF!</v>
      </c>
      <c r="X115" s="34" t="e">
        <f>AND(#REF!,"AAAAAFKf/Rc=")</f>
        <v>#REF!</v>
      </c>
      <c r="Y115" s="34" t="e">
        <f>AND(#REF!,"AAAAAFKf/Rg=")</f>
        <v>#REF!</v>
      </c>
      <c r="Z115" s="34" t="e">
        <f>AND(#REF!,"AAAAAFKf/Rk=")</f>
        <v>#REF!</v>
      </c>
      <c r="AA115" s="34" t="e">
        <f>IF(#REF!,"AAAAAFKf/Ro=",0)</f>
        <v>#REF!</v>
      </c>
      <c r="AB115" s="34" t="e">
        <f>AND(#REF!,"AAAAAFKf/Rs=")</f>
        <v>#REF!</v>
      </c>
      <c r="AC115" s="34" t="e">
        <f>AND(#REF!,"AAAAAFKf/Rw=")</f>
        <v>#REF!</v>
      </c>
      <c r="AD115" s="34" t="e">
        <f>AND(#REF!,"AAAAAFKf/R0=")</f>
        <v>#REF!</v>
      </c>
      <c r="AE115" s="34" t="e">
        <f>AND(#REF!,"AAAAAFKf/R4=")</f>
        <v>#REF!</v>
      </c>
      <c r="AF115" s="34" t="e">
        <f>AND(#REF!,"AAAAAFKf/R8=")</f>
        <v>#REF!</v>
      </c>
      <c r="AG115" s="34" t="e">
        <f>AND(#REF!,"AAAAAFKf/SA=")</f>
        <v>#REF!</v>
      </c>
      <c r="AH115" s="34" t="e">
        <f>AND(#REF!,"AAAAAFKf/SE=")</f>
        <v>#REF!</v>
      </c>
      <c r="AI115" s="34" t="e">
        <f>AND(#REF!,"AAAAAFKf/SI=")</f>
        <v>#REF!</v>
      </c>
      <c r="AJ115" s="34" t="e">
        <f>AND(#REF!,"AAAAAFKf/SM=")</f>
        <v>#REF!</v>
      </c>
      <c r="AK115" s="34" t="e">
        <f>AND(#REF!,"AAAAAFKf/SQ=")</f>
        <v>#REF!</v>
      </c>
      <c r="AL115" s="34" t="e">
        <f>AND(#REF!,"AAAAAFKf/SU=")</f>
        <v>#REF!</v>
      </c>
      <c r="AM115" s="34" t="e">
        <f>AND(#REF!,"AAAAAFKf/SY=")</f>
        <v>#REF!</v>
      </c>
      <c r="AN115" s="34" t="e">
        <f>AND(#REF!,"AAAAAFKf/Sc=")</f>
        <v>#REF!</v>
      </c>
      <c r="AO115" s="34" t="e">
        <f>AND(#REF!,"AAAAAFKf/Sg=")</f>
        <v>#REF!</v>
      </c>
      <c r="AP115" s="34" t="e">
        <f>AND(#REF!,"AAAAAFKf/Sk=")</f>
        <v>#REF!</v>
      </c>
      <c r="AQ115" s="34" t="e">
        <f>AND(#REF!,"AAAAAFKf/So=")</f>
        <v>#REF!</v>
      </c>
      <c r="AR115" s="34" t="e">
        <f>IF(#REF!,"AAAAAFKf/Ss=",0)</f>
        <v>#REF!</v>
      </c>
      <c r="AS115" s="34" t="e">
        <f>AND(#REF!,"AAAAAFKf/Sw=")</f>
        <v>#REF!</v>
      </c>
      <c r="AT115" s="34" t="e">
        <f>AND(#REF!,"AAAAAFKf/S0=")</f>
        <v>#REF!</v>
      </c>
      <c r="AU115" s="34" t="e">
        <f>AND(#REF!,"AAAAAFKf/S4=")</f>
        <v>#REF!</v>
      </c>
      <c r="AV115" s="34" t="e">
        <f>AND(#REF!,"AAAAAFKf/S8=")</f>
        <v>#REF!</v>
      </c>
      <c r="AW115" s="34" t="e">
        <f>AND(#REF!,"AAAAAFKf/TA=")</f>
        <v>#REF!</v>
      </c>
      <c r="AX115" s="34" t="e">
        <f>AND(#REF!,"AAAAAFKf/TE=")</f>
        <v>#REF!</v>
      </c>
      <c r="AY115" s="34" t="e">
        <f>AND(#REF!,"AAAAAFKf/TI=")</f>
        <v>#REF!</v>
      </c>
      <c r="AZ115" s="34" t="e">
        <f>AND(#REF!,"AAAAAFKf/TM=")</f>
        <v>#REF!</v>
      </c>
      <c r="BA115" s="34" t="e">
        <f>AND(#REF!,"AAAAAFKf/TQ=")</f>
        <v>#REF!</v>
      </c>
      <c r="BB115" s="34" t="e">
        <f>AND(#REF!,"AAAAAFKf/TU=")</f>
        <v>#REF!</v>
      </c>
      <c r="BC115" s="34" t="e">
        <f>AND(#REF!,"AAAAAFKf/TY=")</f>
        <v>#REF!</v>
      </c>
      <c r="BD115" s="34" t="e">
        <f>AND(#REF!,"AAAAAFKf/Tc=")</f>
        <v>#REF!</v>
      </c>
      <c r="BE115" s="34" t="e">
        <f>AND(#REF!,"AAAAAFKf/Tg=")</f>
        <v>#REF!</v>
      </c>
      <c r="BF115" s="34" t="e">
        <f>AND(#REF!,"AAAAAFKf/Tk=")</f>
        <v>#REF!</v>
      </c>
      <c r="BG115" s="34" t="e">
        <f>AND(#REF!,"AAAAAFKf/To=")</f>
        <v>#REF!</v>
      </c>
      <c r="BH115" s="34" t="e">
        <f>AND(#REF!,"AAAAAFKf/Ts=")</f>
        <v>#REF!</v>
      </c>
      <c r="BI115" s="34" t="e">
        <f>IF(#REF!,"AAAAAFKf/Tw=",0)</f>
        <v>#REF!</v>
      </c>
      <c r="BJ115" s="34" t="e">
        <f>AND(#REF!,"AAAAAFKf/T0=")</f>
        <v>#REF!</v>
      </c>
      <c r="BK115" s="34" t="e">
        <f>AND(#REF!,"AAAAAFKf/T4=")</f>
        <v>#REF!</v>
      </c>
      <c r="BL115" s="34" t="e">
        <f>AND(#REF!,"AAAAAFKf/T8=")</f>
        <v>#REF!</v>
      </c>
      <c r="BM115" s="34" t="e">
        <f>AND(#REF!,"AAAAAFKf/UA=")</f>
        <v>#REF!</v>
      </c>
      <c r="BN115" s="34" t="e">
        <f>AND(#REF!,"AAAAAFKf/UE=")</f>
        <v>#REF!</v>
      </c>
      <c r="BO115" s="34" t="e">
        <f>AND(#REF!,"AAAAAFKf/UI=")</f>
        <v>#REF!</v>
      </c>
      <c r="BP115" s="34" t="e">
        <f>AND(#REF!,"AAAAAFKf/UM=")</f>
        <v>#REF!</v>
      </c>
      <c r="BQ115" s="34" t="e">
        <f>AND(#REF!,"AAAAAFKf/UQ=")</f>
        <v>#REF!</v>
      </c>
      <c r="BR115" s="34" t="e">
        <f>AND(#REF!,"AAAAAFKf/UU=")</f>
        <v>#REF!</v>
      </c>
      <c r="BS115" s="34" t="e">
        <f>AND(#REF!,"AAAAAFKf/UY=")</f>
        <v>#REF!</v>
      </c>
      <c r="BT115" s="34" t="e">
        <f>AND(#REF!,"AAAAAFKf/Uc=")</f>
        <v>#REF!</v>
      </c>
      <c r="BU115" s="34" t="e">
        <f>AND(#REF!,"AAAAAFKf/Ug=")</f>
        <v>#REF!</v>
      </c>
      <c r="BV115" s="34" t="e">
        <f>AND(#REF!,"AAAAAFKf/Uk=")</f>
        <v>#REF!</v>
      </c>
      <c r="BW115" s="34" t="e">
        <f>AND(#REF!,"AAAAAFKf/Uo=")</f>
        <v>#REF!</v>
      </c>
      <c r="BX115" s="34" t="e">
        <f>AND(#REF!,"AAAAAFKf/Us=")</f>
        <v>#REF!</v>
      </c>
      <c r="BY115" s="34" t="e">
        <f>AND(#REF!,"AAAAAFKf/Uw=")</f>
        <v>#REF!</v>
      </c>
      <c r="BZ115" s="34" t="e">
        <f>IF(#REF!,"AAAAAFKf/U0=",0)</f>
        <v>#REF!</v>
      </c>
      <c r="CA115" s="34" t="e">
        <f>AND(#REF!,"AAAAAFKf/U4=")</f>
        <v>#REF!</v>
      </c>
      <c r="CB115" s="34" t="e">
        <f>AND(#REF!,"AAAAAFKf/U8=")</f>
        <v>#REF!</v>
      </c>
      <c r="CC115" s="34" t="e">
        <f>AND(#REF!,"AAAAAFKf/VA=")</f>
        <v>#REF!</v>
      </c>
      <c r="CD115" s="34" t="e">
        <f>AND(#REF!,"AAAAAFKf/VE=")</f>
        <v>#REF!</v>
      </c>
      <c r="CE115" s="34" t="e">
        <f>AND(#REF!,"AAAAAFKf/VI=")</f>
        <v>#REF!</v>
      </c>
      <c r="CF115" s="34" t="e">
        <f>AND(#REF!,"AAAAAFKf/VM=")</f>
        <v>#REF!</v>
      </c>
      <c r="CG115" s="34" t="e">
        <f>AND(#REF!,"AAAAAFKf/VQ=")</f>
        <v>#REF!</v>
      </c>
      <c r="CH115" s="34" t="e">
        <f>AND(#REF!,"AAAAAFKf/VU=")</f>
        <v>#REF!</v>
      </c>
      <c r="CI115" s="34" t="e">
        <f>AND(#REF!,"AAAAAFKf/VY=")</f>
        <v>#REF!</v>
      </c>
      <c r="CJ115" s="34" t="e">
        <f>AND(#REF!,"AAAAAFKf/Vc=")</f>
        <v>#REF!</v>
      </c>
      <c r="CK115" s="34" t="e">
        <f>AND(#REF!,"AAAAAFKf/Vg=")</f>
        <v>#REF!</v>
      </c>
      <c r="CL115" s="34" t="e">
        <f>AND(#REF!,"AAAAAFKf/Vk=")</f>
        <v>#REF!</v>
      </c>
      <c r="CM115" s="34" t="e">
        <f>AND(#REF!,"AAAAAFKf/Vo=")</f>
        <v>#REF!</v>
      </c>
      <c r="CN115" s="34" t="e">
        <f>AND(#REF!,"AAAAAFKf/Vs=")</f>
        <v>#REF!</v>
      </c>
      <c r="CO115" s="34" t="e">
        <f>AND(#REF!,"AAAAAFKf/Vw=")</f>
        <v>#REF!</v>
      </c>
      <c r="CP115" s="34" t="e">
        <f>AND(#REF!,"AAAAAFKf/V0=")</f>
        <v>#REF!</v>
      </c>
      <c r="CQ115" s="34" t="e">
        <f>IF(#REF!,"AAAAAFKf/V4=",0)</f>
        <v>#REF!</v>
      </c>
      <c r="CR115" s="34" t="e">
        <f>AND(#REF!,"AAAAAFKf/V8=")</f>
        <v>#REF!</v>
      </c>
      <c r="CS115" s="34" t="e">
        <f>AND(#REF!,"AAAAAFKf/WA=")</f>
        <v>#REF!</v>
      </c>
      <c r="CT115" s="34" t="e">
        <f>AND(#REF!,"AAAAAFKf/WE=")</f>
        <v>#REF!</v>
      </c>
      <c r="CU115" s="34" t="e">
        <f>AND(#REF!,"AAAAAFKf/WI=")</f>
        <v>#REF!</v>
      </c>
      <c r="CV115" s="34" t="e">
        <f>AND(#REF!,"AAAAAFKf/WM=")</f>
        <v>#REF!</v>
      </c>
      <c r="CW115" s="34" t="e">
        <f>AND(#REF!,"AAAAAFKf/WQ=")</f>
        <v>#REF!</v>
      </c>
      <c r="CX115" s="34" t="e">
        <f>AND(#REF!,"AAAAAFKf/WU=")</f>
        <v>#REF!</v>
      </c>
      <c r="CY115" s="34" t="e">
        <f>AND(#REF!,"AAAAAFKf/WY=")</f>
        <v>#REF!</v>
      </c>
      <c r="CZ115" s="34" t="e">
        <f>AND(#REF!,"AAAAAFKf/Wc=")</f>
        <v>#REF!</v>
      </c>
      <c r="DA115" s="34" t="e">
        <f>AND(#REF!,"AAAAAFKf/Wg=")</f>
        <v>#REF!</v>
      </c>
      <c r="DB115" s="34" t="e">
        <f>AND(#REF!,"AAAAAFKf/Wk=")</f>
        <v>#REF!</v>
      </c>
      <c r="DC115" s="34" t="e">
        <f>AND(#REF!,"AAAAAFKf/Wo=")</f>
        <v>#REF!</v>
      </c>
      <c r="DD115" s="34" t="e">
        <f>AND(#REF!,"AAAAAFKf/Ws=")</f>
        <v>#REF!</v>
      </c>
      <c r="DE115" s="34" t="e">
        <f>AND(#REF!,"AAAAAFKf/Ww=")</f>
        <v>#REF!</v>
      </c>
      <c r="DF115" s="34" t="e">
        <f>AND(#REF!,"AAAAAFKf/W0=")</f>
        <v>#REF!</v>
      </c>
      <c r="DG115" s="34" t="e">
        <f>AND(#REF!,"AAAAAFKf/W4=")</f>
        <v>#REF!</v>
      </c>
      <c r="DH115" s="34" t="e">
        <f>IF(#REF!,"AAAAAFKf/W8=",0)</f>
        <v>#REF!</v>
      </c>
      <c r="DI115" s="34" t="e">
        <f>AND(#REF!,"AAAAAFKf/XA=")</f>
        <v>#REF!</v>
      </c>
      <c r="DJ115" s="34" t="e">
        <f>AND(#REF!,"AAAAAFKf/XE=")</f>
        <v>#REF!</v>
      </c>
      <c r="DK115" s="34" t="e">
        <f>AND(#REF!,"AAAAAFKf/XI=")</f>
        <v>#REF!</v>
      </c>
      <c r="DL115" s="34" t="e">
        <f>AND(#REF!,"AAAAAFKf/XM=")</f>
        <v>#REF!</v>
      </c>
      <c r="DM115" s="34" t="e">
        <f>AND(#REF!,"AAAAAFKf/XQ=")</f>
        <v>#REF!</v>
      </c>
      <c r="DN115" s="34" t="e">
        <f>AND(#REF!,"AAAAAFKf/XU=")</f>
        <v>#REF!</v>
      </c>
      <c r="DO115" s="34" t="e">
        <f>AND(#REF!,"AAAAAFKf/XY=")</f>
        <v>#REF!</v>
      </c>
      <c r="DP115" s="34" t="e">
        <f>AND(#REF!,"AAAAAFKf/Xc=")</f>
        <v>#REF!</v>
      </c>
      <c r="DQ115" s="34" t="e">
        <f>AND(#REF!,"AAAAAFKf/Xg=")</f>
        <v>#REF!</v>
      </c>
      <c r="DR115" s="34" t="e">
        <f>AND(#REF!,"AAAAAFKf/Xk=")</f>
        <v>#REF!</v>
      </c>
      <c r="DS115" s="34" t="e">
        <f>AND(#REF!,"AAAAAFKf/Xo=")</f>
        <v>#REF!</v>
      </c>
      <c r="DT115" s="34" t="e">
        <f>AND(#REF!,"AAAAAFKf/Xs=")</f>
        <v>#REF!</v>
      </c>
      <c r="DU115" s="34" t="e">
        <f>AND(#REF!,"AAAAAFKf/Xw=")</f>
        <v>#REF!</v>
      </c>
      <c r="DV115" s="34" t="e">
        <f>AND(#REF!,"AAAAAFKf/X0=")</f>
        <v>#REF!</v>
      </c>
      <c r="DW115" s="34" t="e">
        <f>AND(#REF!,"AAAAAFKf/X4=")</f>
        <v>#REF!</v>
      </c>
      <c r="DX115" s="34" t="e">
        <f>AND(#REF!,"AAAAAFKf/X8=")</f>
        <v>#REF!</v>
      </c>
      <c r="DY115" s="34" t="e">
        <f>IF(#REF!,"AAAAAFKf/YA=",0)</f>
        <v>#REF!</v>
      </c>
      <c r="DZ115" s="34" t="e">
        <f>AND(#REF!,"AAAAAFKf/YE=")</f>
        <v>#REF!</v>
      </c>
      <c r="EA115" s="34" t="e">
        <f>AND(#REF!,"AAAAAFKf/YI=")</f>
        <v>#REF!</v>
      </c>
      <c r="EB115" s="34" t="e">
        <f>AND(#REF!,"AAAAAFKf/YM=")</f>
        <v>#REF!</v>
      </c>
      <c r="EC115" s="34" t="e">
        <f>AND(#REF!,"AAAAAFKf/YQ=")</f>
        <v>#REF!</v>
      </c>
      <c r="ED115" s="34" t="e">
        <f>AND(#REF!,"AAAAAFKf/YU=")</f>
        <v>#REF!</v>
      </c>
      <c r="EE115" s="34" t="e">
        <f>AND(#REF!,"AAAAAFKf/YY=")</f>
        <v>#REF!</v>
      </c>
      <c r="EF115" s="34" t="e">
        <f>AND(#REF!,"AAAAAFKf/Yc=")</f>
        <v>#REF!</v>
      </c>
      <c r="EG115" s="34" t="e">
        <f>AND(#REF!,"AAAAAFKf/Yg=")</f>
        <v>#REF!</v>
      </c>
      <c r="EH115" s="34" t="e">
        <f>AND(#REF!,"AAAAAFKf/Yk=")</f>
        <v>#REF!</v>
      </c>
      <c r="EI115" s="34" t="e">
        <f>AND(#REF!,"AAAAAFKf/Yo=")</f>
        <v>#REF!</v>
      </c>
      <c r="EJ115" s="34" t="e">
        <f>AND(#REF!,"AAAAAFKf/Ys=")</f>
        <v>#REF!</v>
      </c>
      <c r="EK115" s="34" t="e">
        <f>AND(#REF!,"AAAAAFKf/Yw=")</f>
        <v>#REF!</v>
      </c>
      <c r="EL115" s="34" t="e">
        <f>AND(#REF!,"AAAAAFKf/Y0=")</f>
        <v>#REF!</v>
      </c>
      <c r="EM115" s="34" t="e">
        <f>AND(#REF!,"AAAAAFKf/Y4=")</f>
        <v>#REF!</v>
      </c>
      <c r="EN115" s="34" t="e">
        <f>AND(#REF!,"AAAAAFKf/Y8=")</f>
        <v>#REF!</v>
      </c>
      <c r="EO115" s="34" t="e">
        <f>AND(#REF!,"AAAAAFKf/ZA=")</f>
        <v>#REF!</v>
      </c>
      <c r="EP115" s="34" t="e">
        <f>IF(#REF!,"AAAAAFKf/ZE=",0)</f>
        <v>#REF!</v>
      </c>
      <c r="EQ115" s="34" t="e">
        <f>AND(#REF!,"AAAAAFKf/ZI=")</f>
        <v>#REF!</v>
      </c>
      <c r="ER115" s="34" t="e">
        <f>AND(#REF!,"AAAAAFKf/ZM=")</f>
        <v>#REF!</v>
      </c>
      <c r="ES115" s="34" t="e">
        <f>AND(#REF!,"AAAAAFKf/ZQ=")</f>
        <v>#REF!</v>
      </c>
      <c r="ET115" s="34" t="e">
        <f>AND(#REF!,"AAAAAFKf/ZU=")</f>
        <v>#REF!</v>
      </c>
      <c r="EU115" s="34" t="e">
        <f>AND(#REF!,"AAAAAFKf/ZY=")</f>
        <v>#REF!</v>
      </c>
      <c r="EV115" s="34" t="e">
        <f>AND(#REF!,"AAAAAFKf/Zc=")</f>
        <v>#REF!</v>
      </c>
      <c r="EW115" s="34" t="e">
        <f>AND(#REF!,"AAAAAFKf/Zg=")</f>
        <v>#REF!</v>
      </c>
      <c r="EX115" s="34" t="e">
        <f>AND(#REF!,"AAAAAFKf/Zk=")</f>
        <v>#REF!</v>
      </c>
      <c r="EY115" s="34" t="e">
        <f>AND(#REF!,"AAAAAFKf/Zo=")</f>
        <v>#REF!</v>
      </c>
      <c r="EZ115" s="34" t="e">
        <f>AND(#REF!,"AAAAAFKf/Zs=")</f>
        <v>#REF!</v>
      </c>
      <c r="FA115" s="34" t="e">
        <f>AND(#REF!,"AAAAAFKf/Zw=")</f>
        <v>#REF!</v>
      </c>
      <c r="FB115" s="34" t="e">
        <f>AND(#REF!,"AAAAAFKf/Z0=")</f>
        <v>#REF!</v>
      </c>
      <c r="FC115" s="34" t="e">
        <f>AND(#REF!,"AAAAAFKf/Z4=")</f>
        <v>#REF!</v>
      </c>
      <c r="FD115" s="34" t="e">
        <f>AND(#REF!,"AAAAAFKf/Z8=")</f>
        <v>#REF!</v>
      </c>
      <c r="FE115" s="34" t="e">
        <f>AND(#REF!,"AAAAAFKf/aA=")</f>
        <v>#REF!</v>
      </c>
      <c r="FF115" s="34" t="e">
        <f>AND(#REF!,"AAAAAFKf/aE=")</f>
        <v>#REF!</v>
      </c>
      <c r="FG115" s="34" t="e">
        <f>IF(#REF!,"AAAAAFKf/aI=",0)</f>
        <v>#REF!</v>
      </c>
      <c r="FH115" s="34" t="e">
        <f>AND(#REF!,"AAAAAFKf/aM=")</f>
        <v>#REF!</v>
      </c>
      <c r="FI115" s="34" t="e">
        <f>AND(#REF!,"AAAAAFKf/aQ=")</f>
        <v>#REF!</v>
      </c>
      <c r="FJ115" s="34" t="e">
        <f>AND(#REF!,"AAAAAFKf/aU=")</f>
        <v>#REF!</v>
      </c>
      <c r="FK115" s="34" t="e">
        <f>AND(#REF!,"AAAAAFKf/aY=")</f>
        <v>#REF!</v>
      </c>
      <c r="FL115" s="34" t="e">
        <f>AND(#REF!,"AAAAAFKf/ac=")</f>
        <v>#REF!</v>
      </c>
      <c r="FM115" s="34" t="e">
        <f>AND(#REF!,"AAAAAFKf/ag=")</f>
        <v>#REF!</v>
      </c>
      <c r="FN115" s="34" t="e">
        <f>AND(#REF!,"AAAAAFKf/ak=")</f>
        <v>#REF!</v>
      </c>
      <c r="FO115" s="34" t="e">
        <f>AND(#REF!,"AAAAAFKf/ao=")</f>
        <v>#REF!</v>
      </c>
      <c r="FP115" s="34" t="e">
        <f>AND(#REF!,"AAAAAFKf/as=")</f>
        <v>#REF!</v>
      </c>
      <c r="FQ115" s="34" t="e">
        <f>AND(#REF!,"AAAAAFKf/aw=")</f>
        <v>#REF!</v>
      </c>
      <c r="FR115" s="34" t="e">
        <f>AND(#REF!,"AAAAAFKf/a0=")</f>
        <v>#REF!</v>
      </c>
      <c r="FS115" s="34" t="e">
        <f>AND(#REF!,"AAAAAFKf/a4=")</f>
        <v>#REF!</v>
      </c>
      <c r="FT115" s="34" t="e">
        <f>AND(#REF!,"AAAAAFKf/a8=")</f>
        <v>#REF!</v>
      </c>
      <c r="FU115" s="34" t="e">
        <f>AND(#REF!,"AAAAAFKf/bA=")</f>
        <v>#REF!</v>
      </c>
      <c r="FV115" s="34" t="e">
        <f>AND(#REF!,"AAAAAFKf/bE=")</f>
        <v>#REF!</v>
      </c>
      <c r="FW115" s="34" t="e">
        <f>AND(#REF!,"AAAAAFKf/bI=")</f>
        <v>#REF!</v>
      </c>
      <c r="FX115" s="34" t="e">
        <f>IF(#REF!,"AAAAAFKf/bM=",0)</f>
        <v>#REF!</v>
      </c>
      <c r="FY115" s="34" t="e">
        <f>AND(#REF!,"AAAAAFKf/bQ=")</f>
        <v>#REF!</v>
      </c>
      <c r="FZ115" s="34" t="e">
        <f>AND(#REF!,"AAAAAFKf/bU=")</f>
        <v>#REF!</v>
      </c>
      <c r="GA115" s="34" t="e">
        <f>AND(#REF!,"AAAAAFKf/bY=")</f>
        <v>#REF!</v>
      </c>
      <c r="GB115" s="34" t="e">
        <f>AND(#REF!,"AAAAAFKf/bc=")</f>
        <v>#REF!</v>
      </c>
      <c r="GC115" s="34" t="e">
        <f>AND(#REF!,"AAAAAFKf/bg=")</f>
        <v>#REF!</v>
      </c>
      <c r="GD115" s="34" t="e">
        <f>AND(#REF!,"AAAAAFKf/bk=")</f>
        <v>#REF!</v>
      </c>
      <c r="GE115" s="34" t="e">
        <f>AND(#REF!,"AAAAAFKf/bo=")</f>
        <v>#REF!</v>
      </c>
      <c r="GF115" s="34" t="e">
        <f>AND(#REF!,"AAAAAFKf/bs=")</f>
        <v>#REF!</v>
      </c>
      <c r="GG115" s="34" t="e">
        <f>AND(#REF!,"AAAAAFKf/bw=")</f>
        <v>#REF!</v>
      </c>
      <c r="GH115" s="34" t="e">
        <f>AND(#REF!,"AAAAAFKf/b0=")</f>
        <v>#REF!</v>
      </c>
      <c r="GI115" s="34" t="e">
        <f>AND(#REF!,"AAAAAFKf/b4=")</f>
        <v>#REF!</v>
      </c>
      <c r="GJ115" s="34" t="e">
        <f>AND(#REF!,"AAAAAFKf/b8=")</f>
        <v>#REF!</v>
      </c>
      <c r="GK115" s="34" t="e">
        <f>AND(#REF!,"AAAAAFKf/cA=")</f>
        <v>#REF!</v>
      </c>
      <c r="GL115" s="34" t="e">
        <f>AND(#REF!,"AAAAAFKf/cE=")</f>
        <v>#REF!</v>
      </c>
      <c r="GM115" s="34" t="e">
        <f>AND(#REF!,"AAAAAFKf/cI=")</f>
        <v>#REF!</v>
      </c>
      <c r="GN115" s="34" t="e">
        <f>AND(#REF!,"AAAAAFKf/cM=")</f>
        <v>#REF!</v>
      </c>
      <c r="GO115" s="34" t="e">
        <f>IF(#REF!,"AAAAAFKf/cQ=",0)</f>
        <v>#REF!</v>
      </c>
      <c r="GP115" s="34" t="e">
        <f>AND(#REF!,"AAAAAFKf/cU=")</f>
        <v>#REF!</v>
      </c>
      <c r="GQ115" s="34" t="e">
        <f>AND(#REF!,"AAAAAFKf/cY=")</f>
        <v>#REF!</v>
      </c>
      <c r="GR115" s="34" t="e">
        <f>AND(#REF!,"AAAAAFKf/cc=")</f>
        <v>#REF!</v>
      </c>
      <c r="GS115" s="34" t="e">
        <f>AND(#REF!,"AAAAAFKf/cg=")</f>
        <v>#REF!</v>
      </c>
      <c r="GT115" s="34" t="e">
        <f>AND(#REF!,"AAAAAFKf/ck=")</f>
        <v>#REF!</v>
      </c>
      <c r="GU115" s="34" t="e">
        <f>AND(#REF!,"AAAAAFKf/co=")</f>
        <v>#REF!</v>
      </c>
      <c r="GV115" s="34" t="e">
        <f>AND(#REF!,"AAAAAFKf/cs=")</f>
        <v>#REF!</v>
      </c>
      <c r="GW115" s="34" t="e">
        <f>AND(#REF!,"AAAAAFKf/cw=")</f>
        <v>#REF!</v>
      </c>
      <c r="GX115" s="34" t="e">
        <f>AND(#REF!,"AAAAAFKf/c0=")</f>
        <v>#REF!</v>
      </c>
      <c r="GY115" s="34" t="e">
        <f>AND(#REF!,"AAAAAFKf/c4=")</f>
        <v>#REF!</v>
      </c>
      <c r="GZ115" s="34" t="e">
        <f>AND(#REF!,"AAAAAFKf/c8=")</f>
        <v>#REF!</v>
      </c>
      <c r="HA115" s="34" t="e">
        <f>AND(#REF!,"AAAAAFKf/dA=")</f>
        <v>#REF!</v>
      </c>
      <c r="HB115" s="34" t="e">
        <f>AND(#REF!,"AAAAAFKf/dE=")</f>
        <v>#REF!</v>
      </c>
      <c r="HC115" s="34" t="e">
        <f>AND(#REF!,"AAAAAFKf/dI=")</f>
        <v>#REF!</v>
      </c>
      <c r="HD115" s="34" t="e">
        <f>AND(#REF!,"AAAAAFKf/dM=")</f>
        <v>#REF!</v>
      </c>
      <c r="HE115" s="34" t="e">
        <f>AND(#REF!,"AAAAAFKf/dQ=")</f>
        <v>#REF!</v>
      </c>
      <c r="HF115" s="34" t="e">
        <f>IF(#REF!,"AAAAAFKf/dU=",0)</f>
        <v>#REF!</v>
      </c>
      <c r="HG115" s="34" t="e">
        <f>AND(#REF!,"AAAAAFKf/dY=")</f>
        <v>#REF!</v>
      </c>
      <c r="HH115" s="34" t="e">
        <f>AND(#REF!,"AAAAAFKf/dc=")</f>
        <v>#REF!</v>
      </c>
      <c r="HI115" s="34" t="e">
        <f>AND(#REF!,"AAAAAFKf/dg=")</f>
        <v>#REF!</v>
      </c>
      <c r="HJ115" s="34" t="e">
        <f>AND(#REF!,"AAAAAFKf/dk=")</f>
        <v>#REF!</v>
      </c>
      <c r="HK115" s="34" t="e">
        <f>AND(#REF!,"AAAAAFKf/do=")</f>
        <v>#REF!</v>
      </c>
      <c r="HL115" s="34" t="e">
        <f>AND(#REF!,"AAAAAFKf/ds=")</f>
        <v>#REF!</v>
      </c>
      <c r="HM115" s="34" t="e">
        <f>AND(#REF!,"AAAAAFKf/dw=")</f>
        <v>#REF!</v>
      </c>
      <c r="HN115" s="34" t="e">
        <f>AND(#REF!,"AAAAAFKf/d0=")</f>
        <v>#REF!</v>
      </c>
      <c r="HO115" s="34" t="e">
        <f>AND(#REF!,"AAAAAFKf/d4=")</f>
        <v>#REF!</v>
      </c>
      <c r="HP115" s="34" t="e">
        <f>AND(#REF!,"AAAAAFKf/d8=")</f>
        <v>#REF!</v>
      </c>
      <c r="HQ115" s="34" t="e">
        <f>AND(#REF!,"AAAAAFKf/eA=")</f>
        <v>#REF!</v>
      </c>
      <c r="HR115" s="34" t="e">
        <f>AND(#REF!,"AAAAAFKf/eE=")</f>
        <v>#REF!</v>
      </c>
      <c r="HS115" s="34" t="e">
        <f>AND(#REF!,"AAAAAFKf/eI=")</f>
        <v>#REF!</v>
      </c>
      <c r="HT115" s="34" t="e">
        <f>AND(#REF!,"AAAAAFKf/eM=")</f>
        <v>#REF!</v>
      </c>
      <c r="HU115" s="34" t="e">
        <f>AND(#REF!,"AAAAAFKf/eQ=")</f>
        <v>#REF!</v>
      </c>
      <c r="HV115" s="34" t="e">
        <f>AND(#REF!,"AAAAAFKf/eU=")</f>
        <v>#REF!</v>
      </c>
      <c r="HW115" s="34" t="e">
        <f>IF(#REF!,"AAAAAFKf/eY=",0)</f>
        <v>#REF!</v>
      </c>
      <c r="HX115" s="34" t="e">
        <f>AND(#REF!,"AAAAAFKf/ec=")</f>
        <v>#REF!</v>
      </c>
      <c r="HY115" s="34" t="e">
        <f>AND(#REF!,"AAAAAFKf/eg=")</f>
        <v>#REF!</v>
      </c>
      <c r="HZ115" s="34" t="e">
        <f>AND(#REF!,"AAAAAFKf/ek=")</f>
        <v>#REF!</v>
      </c>
      <c r="IA115" s="34" t="e">
        <f>AND(#REF!,"AAAAAFKf/eo=")</f>
        <v>#REF!</v>
      </c>
      <c r="IB115" s="34" t="e">
        <f>AND(#REF!,"AAAAAFKf/es=")</f>
        <v>#REF!</v>
      </c>
      <c r="IC115" s="34" t="e">
        <f>AND(#REF!,"AAAAAFKf/ew=")</f>
        <v>#REF!</v>
      </c>
      <c r="ID115" s="34" t="e">
        <f>AND(#REF!,"AAAAAFKf/e0=")</f>
        <v>#REF!</v>
      </c>
      <c r="IE115" s="34" t="e">
        <f>AND(#REF!,"AAAAAFKf/e4=")</f>
        <v>#REF!</v>
      </c>
      <c r="IF115" s="34" t="e">
        <f>AND(#REF!,"AAAAAFKf/e8=")</f>
        <v>#REF!</v>
      </c>
      <c r="IG115" s="34" t="e">
        <f>AND(#REF!,"AAAAAFKf/fA=")</f>
        <v>#REF!</v>
      </c>
      <c r="IH115" s="34" t="e">
        <f>AND(#REF!,"AAAAAFKf/fE=")</f>
        <v>#REF!</v>
      </c>
      <c r="II115" s="34" t="e">
        <f>AND(#REF!,"AAAAAFKf/fI=")</f>
        <v>#REF!</v>
      </c>
      <c r="IJ115" s="34" t="e">
        <f>AND(#REF!,"AAAAAFKf/fM=")</f>
        <v>#REF!</v>
      </c>
      <c r="IK115" s="34" t="e">
        <f>AND(#REF!,"AAAAAFKf/fQ=")</f>
        <v>#REF!</v>
      </c>
      <c r="IL115" s="34" t="e">
        <f>AND(#REF!,"AAAAAFKf/fU=")</f>
        <v>#REF!</v>
      </c>
      <c r="IM115" s="34" t="e">
        <f>AND(#REF!,"AAAAAFKf/fY=")</f>
        <v>#REF!</v>
      </c>
      <c r="IN115" s="34" t="e">
        <f>IF(#REF!,"AAAAAFKf/fc=",0)</f>
        <v>#REF!</v>
      </c>
      <c r="IO115" s="34" t="e">
        <f>AND(#REF!,"AAAAAFKf/fg=")</f>
        <v>#REF!</v>
      </c>
      <c r="IP115" s="34" t="e">
        <f>AND(#REF!,"AAAAAFKf/fk=")</f>
        <v>#REF!</v>
      </c>
      <c r="IQ115" s="34" t="e">
        <f>AND(#REF!,"AAAAAFKf/fo=")</f>
        <v>#REF!</v>
      </c>
      <c r="IR115" s="34" t="e">
        <f>AND(#REF!,"AAAAAFKf/fs=")</f>
        <v>#REF!</v>
      </c>
      <c r="IS115" s="34" t="e">
        <f>AND(#REF!,"AAAAAFKf/fw=")</f>
        <v>#REF!</v>
      </c>
      <c r="IT115" s="34" t="e">
        <f>AND(#REF!,"AAAAAFKf/f0=")</f>
        <v>#REF!</v>
      </c>
      <c r="IU115" s="34" t="e">
        <f>AND(#REF!,"AAAAAFKf/f4=")</f>
        <v>#REF!</v>
      </c>
      <c r="IV115" s="34" t="e">
        <f>AND(#REF!,"AAAAAFKf/f8=")</f>
        <v>#REF!</v>
      </c>
    </row>
    <row r="116" spans="1:256" ht="12.75" customHeight="1" x14ac:dyDescent="0.2">
      <c r="A116" s="34" t="e">
        <f>AND(#REF!,"AAAAAD+7fwA=")</f>
        <v>#REF!</v>
      </c>
      <c r="B116" s="34" t="e">
        <f>AND(#REF!,"AAAAAD+7fwE=")</f>
        <v>#REF!</v>
      </c>
      <c r="C116" s="34" t="e">
        <f>AND(#REF!,"AAAAAD+7fwI=")</f>
        <v>#REF!</v>
      </c>
      <c r="D116" s="34" t="e">
        <f>AND(#REF!,"AAAAAD+7fwM=")</f>
        <v>#REF!</v>
      </c>
      <c r="E116" s="34" t="e">
        <f>AND(#REF!,"AAAAAD+7fwQ=")</f>
        <v>#REF!</v>
      </c>
      <c r="F116" s="34" t="e">
        <f>AND(#REF!,"AAAAAD+7fwU=")</f>
        <v>#REF!</v>
      </c>
      <c r="G116" s="34" t="e">
        <f>AND(#REF!,"AAAAAD+7fwY=")</f>
        <v>#REF!</v>
      </c>
      <c r="H116" s="34" t="e">
        <f>AND(#REF!,"AAAAAD+7fwc=")</f>
        <v>#REF!</v>
      </c>
      <c r="I116" s="34" t="e">
        <f>IF(#REF!,"AAAAAD+7fwg=",0)</f>
        <v>#REF!</v>
      </c>
      <c r="J116" s="34" t="e">
        <f>AND(#REF!,"AAAAAD+7fwk=")</f>
        <v>#REF!</v>
      </c>
      <c r="K116" s="34" t="e">
        <f>AND(#REF!,"AAAAAD+7fwo=")</f>
        <v>#REF!</v>
      </c>
      <c r="L116" s="34" t="e">
        <f>AND(#REF!,"AAAAAD+7fws=")</f>
        <v>#REF!</v>
      </c>
      <c r="M116" s="34" t="e">
        <f>AND(#REF!,"AAAAAD+7fww=")</f>
        <v>#REF!</v>
      </c>
      <c r="N116" s="34" t="e">
        <f>AND(#REF!,"AAAAAD+7fw0=")</f>
        <v>#REF!</v>
      </c>
      <c r="O116" s="34" t="e">
        <f>AND(#REF!,"AAAAAD+7fw4=")</f>
        <v>#REF!</v>
      </c>
      <c r="P116" s="34" t="e">
        <f>AND(#REF!,"AAAAAD+7fw8=")</f>
        <v>#REF!</v>
      </c>
      <c r="Q116" s="34" t="e">
        <f>AND(#REF!,"AAAAAD+7fxA=")</f>
        <v>#REF!</v>
      </c>
      <c r="R116" s="34" t="e">
        <f>AND(#REF!,"AAAAAD+7fxE=")</f>
        <v>#REF!</v>
      </c>
      <c r="S116" s="34" t="e">
        <f>AND(#REF!,"AAAAAD+7fxI=")</f>
        <v>#REF!</v>
      </c>
      <c r="T116" s="34" t="e">
        <f>AND(#REF!,"AAAAAD+7fxM=")</f>
        <v>#REF!</v>
      </c>
      <c r="U116" s="34" t="e">
        <f>AND(#REF!,"AAAAAD+7fxQ=")</f>
        <v>#REF!</v>
      </c>
      <c r="V116" s="34" t="e">
        <f>AND(#REF!,"AAAAAD+7fxU=")</f>
        <v>#REF!</v>
      </c>
      <c r="W116" s="34" t="e">
        <f>AND(#REF!,"AAAAAD+7fxY=")</f>
        <v>#REF!</v>
      </c>
      <c r="X116" s="34" t="e">
        <f>AND(#REF!,"AAAAAD+7fxc=")</f>
        <v>#REF!</v>
      </c>
      <c r="Y116" s="34" t="e">
        <f>AND(#REF!,"AAAAAD+7fxg=")</f>
        <v>#REF!</v>
      </c>
      <c r="Z116" s="34" t="e">
        <f>IF(#REF!,"AAAAAD+7fxk=",0)</f>
        <v>#REF!</v>
      </c>
      <c r="AA116" s="34" t="e">
        <f>AND(#REF!,"AAAAAD+7fxo=")</f>
        <v>#REF!</v>
      </c>
      <c r="AB116" s="34" t="e">
        <f>AND(#REF!,"AAAAAD+7fxs=")</f>
        <v>#REF!</v>
      </c>
      <c r="AC116" s="34" t="e">
        <f>AND(#REF!,"AAAAAD+7fxw=")</f>
        <v>#REF!</v>
      </c>
      <c r="AD116" s="34" t="e">
        <f>AND(#REF!,"AAAAAD+7fx0=")</f>
        <v>#REF!</v>
      </c>
      <c r="AE116" s="34" t="e">
        <f>AND(#REF!,"AAAAAD+7fx4=")</f>
        <v>#REF!</v>
      </c>
      <c r="AF116" s="34" t="e">
        <f>AND(#REF!,"AAAAAD+7fx8=")</f>
        <v>#REF!</v>
      </c>
      <c r="AG116" s="34" t="e">
        <f>AND(#REF!,"AAAAAD+7fyA=")</f>
        <v>#REF!</v>
      </c>
      <c r="AH116" s="34" t="e">
        <f>AND(#REF!,"AAAAAD+7fyE=")</f>
        <v>#REF!</v>
      </c>
      <c r="AI116" s="34" t="e">
        <f>AND(#REF!,"AAAAAD+7fyI=")</f>
        <v>#REF!</v>
      </c>
      <c r="AJ116" s="34" t="e">
        <f>AND(#REF!,"AAAAAD+7fyM=")</f>
        <v>#REF!</v>
      </c>
      <c r="AK116" s="34" t="e">
        <f>AND(#REF!,"AAAAAD+7fyQ=")</f>
        <v>#REF!</v>
      </c>
      <c r="AL116" s="34" t="e">
        <f>AND(#REF!,"AAAAAD+7fyU=")</f>
        <v>#REF!</v>
      </c>
      <c r="AM116" s="34" t="e">
        <f>AND(#REF!,"AAAAAD+7fyY=")</f>
        <v>#REF!</v>
      </c>
      <c r="AN116" s="34" t="e">
        <f>AND(#REF!,"AAAAAD+7fyc=")</f>
        <v>#REF!</v>
      </c>
      <c r="AO116" s="34" t="e">
        <f>AND(#REF!,"AAAAAD+7fyg=")</f>
        <v>#REF!</v>
      </c>
      <c r="AP116" s="34" t="e">
        <f>AND(#REF!,"AAAAAD+7fyk=")</f>
        <v>#REF!</v>
      </c>
      <c r="AQ116" s="34" t="e">
        <f>IF(#REF!,"AAAAAD+7fyo=",0)</f>
        <v>#REF!</v>
      </c>
      <c r="AR116" s="34" t="e">
        <f>AND(#REF!,"AAAAAD+7fys=")</f>
        <v>#REF!</v>
      </c>
      <c r="AS116" s="34" t="e">
        <f>AND(#REF!,"AAAAAD+7fyw=")</f>
        <v>#REF!</v>
      </c>
      <c r="AT116" s="34" t="e">
        <f>AND(#REF!,"AAAAAD+7fy0=")</f>
        <v>#REF!</v>
      </c>
      <c r="AU116" s="34" t="e">
        <f>AND(#REF!,"AAAAAD+7fy4=")</f>
        <v>#REF!</v>
      </c>
      <c r="AV116" s="34" t="e">
        <f>AND(#REF!,"AAAAAD+7fy8=")</f>
        <v>#REF!</v>
      </c>
      <c r="AW116" s="34" t="e">
        <f>AND(#REF!,"AAAAAD+7fzA=")</f>
        <v>#REF!</v>
      </c>
      <c r="AX116" s="34" t="e">
        <f>AND(#REF!,"AAAAAD+7fzE=")</f>
        <v>#REF!</v>
      </c>
      <c r="AY116" s="34" t="e">
        <f>AND(#REF!,"AAAAAD+7fzI=")</f>
        <v>#REF!</v>
      </c>
      <c r="AZ116" s="34" t="e">
        <f>AND(#REF!,"AAAAAD+7fzM=")</f>
        <v>#REF!</v>
      </c>
      <c r="BA116" s="34" t="e">
        <f>AND(#REF!,"AAAAAD+7fzQ=")</f>
        <v>#REF!</v>
      </c>
      <c r="BB116" s="34" t="e">
        <f>AND(#REF!,"AAAAAD+7fzU=")</f>
        <v>#REF!</v>
      </c>
      <c r="BC116" s="34" t="e">
        <f>AND(#REF!,"AAAAAD+7fzY=")</f>
        <v>#REF!</v>
      </c>
      <c r="BD116" s="34" t="e">
        <f>AND(#REF!,"AAAAAD+7fzc=")</f>
        <v>#REF!</v>
      </c>
      <c r="BE116" s="34" t="e">
        <f>AND(#REF!,"AAAAAD+7fzg=")</f>
        <v>#REF!</v>
      </c>
      <c r="BF116" s="34" t="e">
        <f>AND(#REF!,"AAAAAD+7fzk=")</f>
        <v>#REF!</v>
      </c>
      <c r="BG116" s="34" t="e">
        <f>AND(#REF!,"AAAAAD+7fzo=")</f>
        <v>#REF!</v>
      </c>
      <c r="BH116" s="34" t="e">
        <f>IF(#REF!,"AAAAAD+7fzs=",0)</f>
        <v>#REF!</v>
      </c>
      <c r="BI116" s="34" t="e">
        <f>AND(#REF!,"AAAAAD+7fzw=")</f>
        <v>#REF!</v>
      </c>
      <c r="BJ116" s="34" t="e">
        <f>AND(#REF!,"AAAAAD+7fz0=")</f>
        <v>#REF!</v>
      </c>
      <c r="BK116" s="34" t="e">
        <f>AND(#REF!,"AAAAAD+7fz4=")</f>
        <v>#REF!</v>
      </c>
      <c r="BL116" s="34" t="e">
        <f>AND(#REF!,"AAAAAD+7fz8=")</f>
        <v>#REF!</v>
      </c>
      <c r="BM116" s="34" t="e">
        <f>AND(#REF!,"AAAAAD+7f0A=")</f>
        <v>#REF!</v>
      </c>
      <c r="BN116" s="34" t="e">
        <f>AND(#REF!,"AAAAAD+7f0E=")</f>
        <v>#REF!</v>
      </c>
      <c r="BO116" s="34" t="e">
        <f>AND(#REF!,"AAAAAD+7f0I=")</f>
        <v>#REF!</v>
      </c>
      <c r="BP116" s="34" t="e">
        <f>AND(#REF!,"AAAAAD+7f0M=")</f>
        <v>#REF!</v>
      </c>
      <c r="BQ116" s="34" t="e">
        <f>AND(#REF!,"AAAAAD+7f0Q=")</f>
        <v>#REF!</v>
      </c>
      <c r="BR116" s="34" t="e">
        <f>AND(#REF!,"AAAAAD+7f0U=")</f>
        <v>#REF!</v>
      </c>
      <c r="BS116" s="34" t="e">
        <f>AND(#REF!,"AAAAAD+7f0Y=")</f>
        <v>#REF!</v>
      </c>
      <c r="BT116" s="34" t="e">
        <f>AND(#REF!,"AAAAAD+7f0c=")</f>
        <v>#REF!</v>
      </c>
      <c r="BU116" s="34" t="e">
        <f>AND(#REF!,"AAAAAD+7f0g=")</f>
        <v>#REF!</v>
      </c>
      <c r="BV116" s="34" t="e">
        <f>AND(#REF!,"AAAAAD+7f0k=")</f>
        <v>#REF!</v>
      </c>
      <c r="BW116" s="34" t="e">
        <f>AND(#REF!,"AAAAAD+7f0o=")</f>
        <v>#REF!</v>
      </c>
      <c r="BX116" s="34" t="e">
        <f>AND(#REF!,"AAAAAD+7f0s=")</f>
        <v>#REF!</v>
      </c>
      <c r="BY116" s="34" t="e">
        <f>IF(#REF!,"AAAAAD+7f0w=",0)</f>
        <v>#REF!</v>
      </c>
      <c r="BZ116" s="34" t="e">
        <f>AND(#REF!,"AAAAAD+7f00=")</f>
        <v>#REF!</v>
      </c>
      <c r="CA116" s="34" t="e">
        <f>AND(#REF!,"AAAAAD+7f04=")</f>
        <v>#REF!</v>
      </c>
      <c r="CB116" s="34" t="e">
        <f>AND(#REF!,"AAAAAD+7f08=")</f>
        <v>#REF!</v>
      </c>
      <c r="CC116" s="34" t="e">
        <f>AND(#REF!,"AAAAAD+7f1A=")</f>
        <v>#REF!</v>
      </c>
      <c r="CD116" s="34" t="e">
        <f>AND(#REF!,"AAAAAD+7f1E=")</f>
        <v>#REF!</v>
      </c>
      <c r="CE116" s="34" t="e">
        <f>AND(#REF!,"AAAAAD+7f1I=")</f>
        <v>#REF!</v>
      </c>
      <c r="CF116" s="34" t="e">
        <f>AND(#REF!,"AAAAAD+7f1M=")</f>
        <v>#REF!</v>
      </c>
      <c r="CG116" s="34" t="e">
        <f>AND(#REF!,"AAAAAD+7f1Q=")</f>
        <v>#REF!</v>
      </c>
      <c r="CH116" s="34" t="e">
        <f>AND(#REF!,"AAAAAD+7f1U=")</f>
        <v>#REF!</v>
      </c>
      <c r="CI116" s="34" t="e">
        <f>AND(#REF!,"AAAAAD+7f1Y=")</f>
        <v>#REF!</v>
      </c>
      <c r="CJ116" s="34" t="e">
        <f>AND(#REF!,"AAAAAD+7f1c=")</f>
        <v>#REF!</v>
      </c>
      <c r="CK116" s="34" t="e">
        <f>AND(#REF!,"AAAAAD+7f1g=")</f>
        <v>#REF!</v>
      </c>
      <c r="CL116" s="34" t="e">
        <f>AND(#REF!,"AAAAAD+7f1k=")</f>
        <v>#REF!</v>
      </c>
      <c r="CM116" s="34" t="e">
        <f>AND(#REF!,"AAAAAD+7f1o=")</f>
        <v>#REF!</v>
      </c>
      <c r="CN116" s="34" t="e">
        <f>AND(#REF!,"AAAAAD+7f1s=")</f>
        <v>#REF!</v>
      </c>
      <c r="CO116" s="34" t="e">
        <f>AND(#REF!,"AAAAAD+7f1w=")</f>
        <v>#REF!</v>
      </c>
      <c r="CP116" s="34" t="e">
        <f>IF(#REF!,"AAAAAD+7f10=",0)</f>
        <v>#REF!</v>
      </c>
      <c r="CQ116" s="34" t="e">
        <f>AND(#REF!,"AAAAAD+7f14=")</f>
        <v>#REF!</v>
      </c>
      <c r="CR116" s="34" t="e">
        <f>AND(#REF!,"AAAAAD+7f18=")</f>
        <v>#REF!</v>
      </c>
      <c r="CS116" s="34" t="e">
        <f>AND(#REF!,"AAAAAD+7f2A=")</f>
        <v>#REF!</v>
      </c>
      <c r="CT116" s="34" t="e">
        <f>AND(#REF!,"AAAAAD+7f2E=")</f>
        <v>#REF!</v>
      </c>
      <c r="CU116" s="34" t="e">
        <f>AND(#REF!,"AAAAAD+7f2I=")</f>
        <v>#REF!</v>
      </c>
      <c r="CV116" s="34" t="e">
        <f>AND(#REF!,"AAAAAD+7f2M=")</f>
        <v>#REF!</v>
      </c>
      <c r="CW116" s="34" t="e">
        <f>AND(#REF!,"AAAAAD+7f2Q=")</f>
        <v>#REF!</v>
      </c>
      <c r="CX116" s="34" t="e">
        <f>AND(#REF!,"AAAAAD+7f2U=")</f>
        <v>#REF!</v>
      </c>
      <c r="CY116" s="34" t="e">
        <f>AND(#REF!,"AAAAAD+7f2Y=")</f>
        <v>#REF!</v>
      </c>
      <c r="CZ116" s="34" t="e">
        <f>AND(#REF!,"AAAAAD+7f2c=")</f>
        <v>#REF!</v>
      </c>
      <c r="DA116" s="34" t="e">
        <f>AND(#REF!,"AAAAAD+7f2g=")</f>
        <v>#REF!</v>
      </c>
      <c r="DB116" s="34" t="e">
        <f>AND(#REF!,"AAAAAD+7f2k=")</f>
        <v>#REF!</v>
      </c>
      <c r="DC116" s="34" t="e">
        <f>AND(#REF!,"AAAAAD+7f2o=")</f>
        <v>#REF!</v>
      </c>
      <c r="DD116" s="34" t="e">
        <f>AND(#REF!,"AAAAAD+7f2s=")</f>
        <v>#REF!</v>
      </c>
      <c r="DE116" s="34" t="e">
        <f>AND(#REF!,"AAAAAD+7f2w=")</f>
        <v>#REF!</v>
      </c>
      <c r="DF116" s="34" t="e">
        <f>AND(#REF!,"AAAAAD+7f20=")</f>
        <v>#REF!</v>
      </c>
      <c r="DG116" s="34" t="e">
        <f>IF(#REF!,"AAAAAD+7f24=",0)</f>
        <v>#REF!</v>
      </c>
      <c r="DH116" s="34" t="e">
        <f>AND(#REF!,"AAAAAD+7f28=")</f>
        <v>#REF!</v>
      </c>
      <c r="DI116" s="34" t="e">
        <f>AND(#REF!,"AAAAAD+7f3A=")</f>
        <v>#REF!</v>
      </c>
      <c r="DJ116" s="34" t="e">
        <f>AND(#REF!,"AAAAAD+7f3E=")</f>
        <v>#REF!</v>
      </c>
      <c r="DK116" s="34" t="e">
        <f>AND(#REF!,"AAAAAD+7f3I=")</f>
        <v>#REF!</v>
      </c>
      <c r="DL116" s="34" t="e">
        <f>AND(#REF!,"AAAAAD+7f3M=")</f>
        <v>#REF!</v>
      </c>
      <c r="DM116" s="34" t="e">
        <f>AND(#REF!,"AAAAAD+7f3Q=")</f>
        <v>#REF!</v>
      </c>
      <c r="DN116" s="34" t="e">
        <f>AND(#REF!,"AAAAAD+7f3U=")</f>
        <v>#REF!</v>
      </c>
      <c r="DO116" s="34" t="e">
        <f>AND(#REF!,"AAAAAD+7f3Y=")</f>
        <v>#REF!</v>
      </c>
      <c r="DP116" s="34" t="e">
        <f>AND(#REF!,"AAAAAD+7f3c=")</f>
        <v>#REF!</v>
      </c>
      <c r="DQ116" s="34" t="e">
        <f>AND(#REF!,"AAAAAD+7f3g=")</f>
        <v>#REF!</v>
      </c>
      <c r="DR116" s="34" t="e">
        <f>AND(#REF!,"AAAAAD+7f3k=")</f>
        <v>#REF!</v>
      </c>
      <c r="DS116" s="34" t="e">
        <f>AND(#REF!,"AAAAAD+7f3o=")</f>
        <v>#REF!</v>
      </c>
      <c r="DT116" s="34" t="e">
        <f>AND(#REF!,"AAAAAD+7f3s=")</f>
        <v>#REF!</v>
      </c>
      <c r="DU116" s="34" t="e">
        <f>AND(#REF!,"AAAAAD+7f3w=")</f>
        <v>#REF!</v>
      </c>
      <c r="DV116" s="34" t="e">
        <f>AND(#REF!,"AAAAAD+7f30=")</f>
        <v>#REF!</v>
      </c>
      <c r="DW116" s="34" t="e">
        <f>AND(#REF!,"AAAAAD+7f34=")</f>
        <v>#REF!</v>
      </c>
      <c r="DX116" s="34" t="e">
        <f>IF(#REF!,"AAAAAD+7f38=",0)</f>
        <v>#REF!</v>
      </c>
      <c r="DY116" s="34" t="e">
        <f>AND(#REF!,"AAAAAD+7f4A=")</f>
        <v>#REF!</v>
      </c>
      <c r="DZ116" s="34" t="e">
        <f>AND(#REF!,"AAAAAD+7f4E=")</f>
        <v>#REF!</v>
      </c>
      <c r="EA116" s="34" t="e">
        <f>AND(#REF!,"AAAAAD+7f4I=")</f>
        <v>#REF!</v>
      </c>
      <c r="EB116" s="34" t="e">
        <f>AND(#REF!,"AAAAAD+7f4M=")</f>
        <v>#REF!</v>
      </c>
      <c r="EC116" s="34" t="e">
        <f>AND(#REF!,"AAAAAD+7f4Q=")</f>
        <v>#REF!</v>
      </c>
      <c r="ED116" s="34" t="e">
        <f>AND(#REF!,"AAAAAD+7f4U=")</f>
        <v>#REF!</v>
      </c>
      <c r="EE116" s="34" t="e">
        <f>AND(#REF!,"AAAAAD+7f4Y=")</f>
        <v>#REF!</v>
      </c>
      <c r="EF116" s="34" t="e">
        <f>AND(#REF!,"AAAAAD+7f4c=")</f>
        <v>#REF!</v>
      </c>
      <c r="EG116" s="34" t="e">
        <f>AND(#REF!,"AAAAAD+7f4g=")</f>
        <v>#REF!</v>
      </c>
      <c r="EH116" s="34" t="e">
        <f>AND(#REF!,"AAAAAD+7f4k=")</f>
        <v>#REF!</v>
      </c>
      <c r="EI116" s="34" t="e">
        <f>AND(#REF!,"AAAAAD+7f4o=")</f>
        <v>#REF!</v>
      </c>
      <c r="EJ116" s="34" t="e">
        <f>AND(#REF!,"AAAAAD+7f4s=")</f>
        <v>#REF!</v>
      </c>
      <c r="EK116" s="34" t="e">
        <f>AND(#REF!,"AAAAAD+7f4w=")</f>
        <v>#REF!</v>
      </c>
      <c r="EL116" s="34" t="e">
        <f>AND(#REF!,"AAAAAD+7f40=")</f>
        <v>#REF!</v>
      </c>
      <c r="EM116" s="34" t="e">
        <f>AND(#REF!,"AAAAAD+7f44=")</f>
        <v>#REF!</v>
      </c>
      <c r="EN116" s="34" t="e">
        <f>AND(#REF!,"AAAAAD+7f48=")</f>
        <v>#REF!</v>
      </c>
      <c r="EO116" s="34" t="e">
        <f>IF(#REF!,"AAAAAD+7f5A=",0)</f>
        <v>#REF!</v>
      </c>
      <c r="EP116" s="34" t="e">
        <f>AND(#REF!,"AAAAAD+7f5E=")</f>
        <v>#REF!</v>
      </c>
      <c r="EQ116" s="34" t="e">
        <f>AND(#REF!,"AAAAAD+7f5I=")</f>
        <v>#REF!</v>
      </c>
      <c r="ER116" s="34" t="e">
        <f>AND(#REF!,"AAAAAD+7f5M=")</f>
        <v>#REF!</v>
      </c>
      <c r="ES116" s="34" t="e">
        <f>AND(#REF!,"AAAAAD+7f5Q=")</f>
        <v>#REF!</v>
      </c>
      <c r="ET116" s="34" t="e">
        <f>AND(#REF!,"AAAAAD+7f5U=")</f>
        <v>#REF!</v>
      </c>
      <c r="EU116" s="34" t="e">
        <f>AND(#REF!,"AAAAAD+7f5Y=")</f>
        <v>#REF!</v>
      </c>
      <c r="EV116" s="34" t="e">
        <f>AND(#REF!,"AAAAAD+7f5c=")</f>
        <v>#REF!</v>
      </c>
      <c r="EW116" s="34" t="e">
        <f>AND(#REF!,"AAAAAD+7f5g=")</f>
        <v>#REF!</v>
      </c>
      <c r="EX116" s="34" t="e">
        <f>AND(#REF!,"AAAAAD+7f5k=")</f>
        <v>#REF!</v>
      </c>
      <c r="EY116" s="34" t="e">
        <f>AND(#REF!,"AAAAAD+7f5o=")</f>
        <v>#REF!</v>
      </c>
      <c r="EZ116" s="34" t="e">
        <f>AND(#REF!,"AAAAAD+7f5s=")</f>
        <v>#REF!</v>
      </c>
      <c r="FA116" s="34" t="e">
        <f>AND(#REF!,"AAAAAD+7f5w=")</f>
        <v>#REF!</v>
      </c>
      <c r="FB116" s="34" t="e">
        <f>AND(#REF!,"AAAAAD+7f50=")</f>
        <v>#REF!</v>
      </c>
      <c r="FC116" s="34" t="e">
        <f>AND(#REF!,"AAAAAD+7f54=")</f>
        <v>#REF!</v>
      </c>
      <c r="FD116" s="34" t="e">
        <f>AND(#REF!,"AAAAAD+7f58=")</f>
        <v>#REF!</v>
      </c>
      <c r="FE116" s="34" t="e">
        <f>AND(#REF!,"AAAAAD+7f6A=")</f>
        <v>#REF!</v>
      </c>
      <c r="FF116" s="34" t="e">
        <f>IF(#REF!,"AAAAAD+7f6E=",0)</f>
        <v>#REF!</v>
      </c>
      <c r="FG116" s="34" t="e">
        <f>AND(#REF!,"AAAAAD+7f6I=")</f>
        <v>#REF!</v>
      </c>
      <c r="FH116" s="34" t="e">
        <f>AND(#REF!,"AAAAAD+7f6M=")</f>
        <v>#REF!</v>
      </c>
      <c r="FI116" s="34" t="e">
        <f>AND(#REF!,"AAAAAD+7f6Q=")</f>
        <v>#REF!</v>
      </c>
      <c r="FJ116" s="34" t="e">
        <f>AND(#REF!,"AAAAAD+7f6U=")</f>
        <v>#REF!</v>
      </c>
      <c r="FK116" s="34" t="e">
        <f>AND(#REF!,"AAAAAD+7f6Y=")</f>
        <v>#REF!</v>
      </c>
      <c r="FL116" s="34" t="e">
        <f>AND(#REF!,"AAAAAD+7f6c=")</f>
        <v>#REF!</v>
      </c>
      <c r="FM116" s="34" t="e">
        <f>AND(#REF!,"AAAAAD+7f6g=")</f>
        <v>#REF!</v>
      </c>
      <c r="FN116" s="34" t="e">
        <f>AND(#REF!,"AAAAAD+7f6k=")</f>
        <v>#REF!</v>
      </c>
      <c r="FO116" s="34" t="e">
        <f>AND(#REF!,"AAAAAD+7f6o=")</f>
        <v>#REF!</v>
      </c>
      <c r="FP116" s="34" t="e">
        <f>AND(#REF!,"AAAAAD+7f6s=")</f>
        <v>#REF!</v>
      </c>
      <c r="FQ116" s="34" t="e">
        <f>AND(#REF!,"AAAAAD+7f6w=")</f>
        <v>#REF!</v>
      </c>
      <c r="FR116" s="34" t="e">
        <f>AND(#REF!,"AAAAAD+7f60=")</f>
        <v>#REF!</v>
      </c>
      <c r="FS116" s="34" t="e">
        <f>AND(#REF!,"AAAAAD+7f64=")</f>
        <v>#REF!</v>
      </c>
      <c r="FT116" s="34" t="e">
        <f>AND(#REF!,"AAAAAD+7f68=")</f>
        <v>#REF!</v>
      </c>
      <c r="FU116" s="34" t="e">
        <f>AND(#REF!,"AAAAAD+7f7A=")</f>
        <v>#REF!</v>
      </c>
      <c r="FV116" s="34" t="e">
        <f>AND(#REF!,"AAAAAD+7f7E=")</f>
        <v>#REF!</v>
      </c>
      <c r="FW116" s="34" t="e">
        <f>IF(#REF!,"AAAAAD+7f7I=",0)</f>
        <v>#REF!</v>
      </c>
      <c r="FX116" s="34" t="e">
        <f>AND(#REF!,"AAAAAD+7f7M=")</f>
        <v>#REF!</v>
      </c>
      <c r="FY116" s="34" t="e">
        <f>AND(#REF!,"AAAAAD+7f7Q=")</f>
        <v>#REF!</v>
      </c>
      <c r="FZ116" s="34" t="e">
        <f>AND(#REF!,"AAAAAD+7f7U=")</f>
        <v>#REF!</v>
      </c>
      <c r="GA116" s="34" t="e">
        <f>AND(#REF!,"AAAAAD+7f7Y=")</f>
        <v>#REF!</v>
      </c>
      <c r="GB116" s="34" t="e">
        <f>AND(#REF!,"AAAAAD+7f7c=")</f>
        <v>#REF!</v>
      </c>
      <c r="GC116" s="34" t="e">
        <f>AND(#REF!,"AAAAAD+7f7g=")</f>
        <v>#REF!</v>
      </c>
      <c r="GD116" s="34" t="e">
        <f>AND(#REF!,"AAAAAD+7f7k=")</f>
        <v>#REF!</v>
      </c>
      <c r="GE116" s="34" t="e">
        <f>AND(#REF!,"AAAAAD+7f7o=")</f>
        <v>#REF!</v>
      </c>
      <c r="GF116" s="34" t="e">
        <f>AND(#REF!,"AAAAAD+7f7s=")</f>
        <v>#REF!</v>
      </c>
      <c r="GG116" s="34" t="e">
        <f>AND(#REF!,"AAAAAD+7f7w=")</f>
        <v>#REF!</v>
      </c>
      <c r="GH116" s="34" t="e">
        <f>AND(#REF!,"AAAAAD+7f70=")</f>
        <v>#REF!</v>
      </c>
      <c r="GI116" s="34" t="e">
        <f>AND(#REF!,"AAAAAD+7f74=")</f>
        <v>#REF!</v>
      </c>
      <c r="GJ116" s="34" t="e">
        <f>AND(#REF!,"AAAAAD+7f78=")</f>
        <v>#REF!</v>
      </c>
      <c r="GK116" s="34" t="e">
        <f>AND(#REF!,"AAAAAD+7f8A=")</f>
        <v>#REF!</v>
      </c>
      <c r="GL116" s="34" t="e">
        <f>AND(#REF!,"AAAAAD+7f8E=")</f>
        <v>#REF!</v>
      </c>
      <c r="GM116" s="34" t="e">
        <f>AND(#REF!,"AAAAAD+7f8I=")</f>
        <v>#REF!</v>
      </c>
      <c r="GN116" s="34" t="e">
        <f>IF(#REF!,"AAAAAD+7f8M=",0)</f>
        <v>#REF!</v>
      </c>
      <c r="GO116" s="34" t="e">
        <f>AND(#REF!,"AAAAAD+7f8Q=")</f>
        <v>#REF!</v>
      </c>
      <c r="GP116" s="34" t="e">
        <f>AND(#REF!,"AAAAAD+7f8U=")</f>
        <v>#REF!</v>
      </c>
      <c r="GQ116" s="34" t="e">
        <f>AND(#REF!,"AAAAAD+7f8Y=")</f>
        <v>#REF!</v>
      </c>
      <c r="GR116" s="34" t="e">
        <f>AND(#REF!,"AAAAAD+7f8c=")</f>
        <v>#REF!</v>
      </c>
      <c r="GS116" s="34" t="e">
        <f>AND(#REF!,"AAAAAD+7f8g=")</f>
        <v>#REF!</v>
      </c>
      <c r="GT116" s="34" t="e">
        <f>AND(#REF!,"AAAAAD+7f8k=")</f>
        <v>#REF!</v>
      </c>
      <c r="GU116" s="34" t="e">
        <f>AND(#REF!,"AAAAAD+7f8o=")</f>
        <v>#REF!</v>
      </c>
      <c r="GV116" s="34" t="e">
        <f>AND(#REF!,"AAAAAD+7f8s=")</f>
        <v>#REF!</v>
      </c>
      <c r="GW116" s="34" t="e">
        <f>AND(#REF!,"AAAAAD+7f8w=")</f>
        <v>#REF!</v>
      </c>
      <c r="GX116" s="34" t="e">
        <f>AND(#REF!,"AAAAAD+7f80=")</f>
        <v>#REF!</v>
      </c>
      <c r="GY116" s="34" t="e">
        <f>AND(#REF!,"AAAAAD+7f84=")</f>
        <v>#REF!</v>
      </c>
      <c r="GZ116" s="34" t="e">
        <f>AND(#REF!,"AAAAAD+7f88=")</f>
        <v>#REF!</v>
      </c>
      <c r="HA116" s="34" t="e">
        <f>AND(#REF!,"AAAAAD+7f9A=")</f>
        <v>#REF!</v>
      </c>
      <c r="HB116" s="34" t="e">
        <f>AND(#REF!,"AAAAAD+7f9E=")</f>
        <v>#REF!</v>
      </c>
      <c r="HC116" s="34" t="e">
        <f>AND(#REF!,"AAAAAD+7f9I=")</f>
        <v>#REF!</v>
      </c>
      <c r="HD116" s="34" t="e">
        <f>AND(#REF!,"AAAAAD+7f9M=")</f>
        <v>#REF!</v>
      </c>
      <c r="HE116" s="34" t="e">
        <f>IF(#REF!,"AAAAAD+7f9Q=",0)</f>
        <v>#REF!</v>
      </c>
      <c r="HF116" s="34" t="e">
        <f>AND(#REF!,"AAAAAD+7f9U=")</f>
        <v>#REF!</v>
      </c>
      <c r="HG116" s="34" t="e">
        <f>AND(#REF!,"AAAAAD+7f9Y=")</f>
        <v>#REF!</v>
      </c>
      <c r="HH116" s="34" t="e">
        <f>AND(#REF!,"AAAAAD+7f9c=")</f>
        <v>#REF!</v>
      </c>
      <c r="HI116" s="34" t="e">
        <f>AND(#REF!,"AAAAAD+7f9g=")</f>
        <v>#REF!</v>
      </c>
      <c r="HJ116" s="34" t="e">
        <f>AND(#REF!,"AAAAAD+7f9k=")</f>
        <v>#REF!</v>
      </c>
      <c r="HK116" s="34" t="e">
        <f>AND(#REF!,"AAAAAD+7f9o=")</f>
        <v>#REF!</v>
      </c>
      <c r="HL116" s="34" t="e">
        <f>AND(#REF!,"AAAAAD+7f9s=")</f>
        <v>#REF!</v>
      </c>
      <c r="HM116" s="34" t="e">
        <f>AND(#REF!,"AAAAAD+7f9w=")</f>
        <v>#REF!</v>
      </c>
      <c r="HN116" s="34" t="e">
        <f>AND(#REF!,"AAAAAD+7f90=")</f>
        <v>#REF!</v>
      </c>
      <c r="HO116" s="34" t="e">
        <f>AND(#REF!,"AAAAAD+7f94=")</f>
        <v>#REF!</v>
      </c>
      <c r="HP116" s="34" t="e">
        <f>AND(#REF!,"AAAAAD+7f98=")</f>
        <v>#REF!</v>
      </c>
      <c r="HQ116" s="34" t="e">
        <f>AND(#REF!,"AAAAAD+7f+A=")</f>
        <v>#REF!</v>
      </c>
      <c r="HR116" s="34" t="e">
        <f>AND(#REF!,"AAAAAD+7f+E=")</f>
        <v>#REF!</v>
      </c>
      <c r="HS116" s="34" t="e">
        <f>AND(#REF!,"AAAAAD+7f+I=")</f>
        <v>#REF!</v>
      </c>
      <c r="HT116" s="34" t="e">
        <f>AND(#REF!,"AAAAAD+7f+M=")</f>
        <v>#REF!</v>
      </c>
      <c r="HU116" s="34" t="e">
        <f>AND(#REF!,"AAAAAD+7f+Q=")</f>
        <v>#REF!</v>
      </c>
      <c r="HV116" s="34" t="e">
        <f>IF(#REF!,"AAAAAD+7f+U=",0)</f>
        <v>#REF!</v>
      </c>
      <c r="HW116" s="34" t="e">
        <f>AND(#REF!,"AAAAAD+7f+Y=")</f>
        <v>#REF!</v>
      </c>
      <c r="HX116" s="34" t="e">
        <f>AND(#REF!,"AAAAAD+7f+c=")</f>
        <v>#REF!</v>
      </c>
      <c r="HY116" s="34" t="e">
        <f>AND(#REF!,"AAAAAD+7f+g=")</f>
        <v>#REF!</v>
      </c>
      <c r="HZ116" s="34" t="e">
        <f>AND(#REF!,"AAAAAD+7f+k=")</f>
        <v>#REF!</v>
      </c>
      <c r="IA116" s="34" t="e">
        <f>AND(#REF!,"AAAAAD+7f+o=")</f>
        <v>#REF!</v>
      </c>
      <c r="IB116" s="34" t="e">
        <f>AND(#REF!,"AAAAAD+7f+s=")</f>
        <v>#REF!</v>
      </c>
      <c r="IC116" s="34" t="e">
        <f>AND(#REF!,"AAAAAD+7f+w=")</f>
        <v>#REF!</v>
      </c>
      <c r="ID116" s="34" t="e">
        <f>AND(#REF!,"AAAAAD+7f+0=")</f>
        <v>#REF!</v>
      </c>
      <c r="IE116" s="34" t="e">
        <f>AND(#REF!,"AAAAAD+7f+4=")</f>
        <v>#REF!</v>
      </c>
      <c r="IF116" s="34" t="e">
        <f>AND(#REF!,"AAAAAD+7f+8=")</f>
        <v>#REF!</v>
      </c>
      <c r="IG116" s="34" t="e">
        <f>AND(#REF!,"AAAAAD+7f/A=")</f>
        <v>#REF!</v>
      </c>
      <c r="IH116" s="34" t="e">
        <f>AND(#REF!,"AAAAAD+7f/E=")</f>
        <v>#REF!</v>
      </c>
      <c r="II116" s="34" t="e">
        <f>AND(#REF!,"AAAAAD+7f/I=")</f>
        <v>#REF!</v>
      </c>
      <c r="IJ116" s="34" t="e">
        <f>AND(#REF!,"AAAAAD+7f/M=")</f>
        <v>#REF!</v>
      </c>
      <c r="IK116" s="34" t="e">
        <f>AND(#REF!,"AAAAAD+7f/Q=")</f>
        <v>#REF!</v>
      </c>
      <c r="IL116" s="34" t="e">
        <f>AND(#REF!,"AAAAAD+7f/U=")</f>
        <v>#REF!</v>
      </c>
      <c r="IM116" s="34" t="e">
        <f>IF(#REF!,"AAAAAD+7f/Y=",0)</f>
        <v>#REF!</v>
      </c>
      <c r="IN116" s="34" t="e">
        <f>AND(#REF!,"AAAAAD+7f/c=")</f>
        <v>#REF!</v>
      </c>
      <c r="IO116" s="34" t="e">
        <f>AND(#REF!,"AAAAAD+7f/g=")</f>
        <v>#REF!</v>
      </c>
      <c r="IP116" s="34" t="e">
        <f>AND(#REF!,"AAAAAD+7f/k=")</f>
        <v>#REF!</v>
      </c>
      <c r="IQ116" s="34" t="e">
        <f>AND(#REF!,"AAAAAD+7f/o=")</f>
        <v>#REF!</v>
      </c>
      <c r="IR116" s="34" t="e">
        <f>AND(#REF!,"AAAAAD+7f/s=")</f>
        <v>#REF!</v>
      </c>
      <c r="IS116" s="34" t="e">
        <f>AND(#REF!,"AAAAAD+7f/w=")</f>
        <v>#REF!</v>
      </c>
      <c r="IT116" s="34" t="e">
        <f>AND(#REF!,"AAAAAD+7f/0=")</f>
        <v>#REF!</v>
      </c>
      <c r="IU116" s="34" t="e">
        <f>AND(#REF!,"AAAAAD+7f/4=")</f>
        <v>#REF!</v>
      </c>
      <c r="IV116" s="34" t="e">
        <f>AND(#REF!,"AAAAAD+7f/8=")</f>
        <v>#REF!</v>
      </c>
    </row>
    <row r="117" spans="1:256" ht="12.75" customHeight="1" x14ac:dyDescent="0.2">
      <c r="A117" s="34" t="e">
        <f>AND(#REF!,"AAAAAEu7vwA=")</f>
        <v>#REF!</v>
      </c>
      <c r="B117" s="34" t="e">
        <f>AND(#REF!,"AAAAAEu7vwE=")</f>
        <v>#REF!</v>
      </c>
      <c r="C117" s="34" t="e">
        <f>AND(#REF!,"AAAAAEu7vwI=")</f>
        <v>#REF!</v>
      </c>
      <c r="D117" s="34" t="e">
        <f>AND(#REF!,"AAAAAEu7vwM=")</f>
        <v>#REF!</v>
      </c>
      <c r="E117" s="34" t="e">
        <f>AND(#REF!,"AAAAAEu7vwQ=")</f>
        <v>#REF!</v>
      </c>
      <c r="F117" s="34" t="e">
        <f>AND(#REF!,"AAAAAEu7vwU=")</f>
        <v>#REF!</v>
      </c>
      <c r="G117" s="34" t="e">
        <f>AND(#REF!,"AAAAAEu7vwY=")</f>
        <v>#REF!</v>
      </c>
      <c r="H117" s="34" t="e">
        <f>IF(#REF!,"AAAAAEu7vwc=",0)</f>
        <v>#REF!</v>
      </c>
      <c r="I117" s="34" t="e">
        <f>AND(#REF!,"AAAAAEu7vwg=")</f>
        <v>#REF!</v>
      </c>
      <c r="J117" s="34" t="e">
        <f>AND(#REF!,"AAAAAEu7vwk=")</f>
        <v>#REF!</v>
      </c>
      <c r="K117" s="34" t="e">
        <f>AND(#REF!,"AAAAAEu7vwo=")</f>
        <v>#REF!</v>
      </c>
      <c r="L117" s="34" t="e">
        <f>AND(#REF!,"AAAAAEu7vws=")</f>
        <v>#REF!</v>
      </c>
      <c r="M117" s="34" t="e">
        <f>AND(#REF!,"AAAAAEu7vww=")</f>
        <v>#REF!</v>
      </c>
      <c r="N117" s="34" t="e">
        <f>AND(#REF!,"AAAAAEu7vw0=")</f>
        <v>#REF!</v>
      </c>
      <c r="O117" s="34" t="e">
        <f>AND(#REF!,"AAAAAEu7vw4=")</f>
        <v>#REF!</v>
      </c>
      <c r="P117" s="34" t="e">
        <f>AND(#REF!,"AAAAAEu7vw8=")</f>
        <v>#REF!</v>
      </c>
      <c r="Q117" s="34" t="e">
        <f>AND(#REF!,"AAAAAEu7vxA=")</f>
        <v>#REF!</v>
      </c>
      <c r="R117" s="34" t="e">
        <f>AND(#REF!,"AAAAAEu7vxE=")</f>
        <v>#REF!</v>
      </c>
      <c r="S117" s="34" t="e">
        <f>AND(#REF!,"AAAAAEu7vxI=")</f>
        <v>#REF!</v>
      </c>
      <c r="T117" s="34" t="e">
        <f>AND(#REF!,"AAAAAEu7vxM=")</f>
        <v>#REF!</v>
      </c>
      <c r="U117" s="34" t="e">
        <f>AND(#REF!,"AAAAAEu7vxQ=")</f>
        <v>#REF!</v>
      </c>
      <c r="V117" s="34" t="e">
        <f>AND(#REF!,"AAAAAEu7vxU=")</f>
        <v>#REF!</v>
      </c>
      <c r="W117" s="34" t="e">
        <f>AND(#REF!,"AAAAAEu7vxY=")</f>
        <v>#REF!</v>
      </c>
      <c r="X117" s="34" t="e">
        <f>AND(#REF!,"AAAAAEu7vxc=")</f>
        <v>#REF!</v>
      </c>
      <c r="Y117" s="34" t="e">
        <f>IF(#REF!,"AAAAAEu7vxg=",0)</f>
        <v>#REF!</v>
      </c>
      <c r="Z117" s="34" t="e">
        <f>AND(#REF!,"AAAAAEu7vxk=")</f>
        <v>#REF!</v>
      </c>
      <c r="AA117" s="34" t="e">
        <f>AND(#REF!,"AAAAAEu7vxo=")</f>
        <v>#REF!</v>
      </c>
      <c r="AB117" s="34" t="e">
        <f>AND(#REF!,"AAAAAEu7vxs=")</f>
        <v>#REF!</v>
      </c>
      <c r="AC117" s="34" t="e">
        <f>AND(#REF!,"AAAAAEu7vxw=")</f>
        <v>#REF!</v>
      </c>
      <c r="AD117" s="34" t="e">
        <f>AND(#REF!,"AAAAAEu7vx0=")</f>
        <v>#REF!</v>
      </c>
      <c r="AE117" s="34" t="e">
        <f>AND(#REF!,"AAAAAEu7vx4=")</f>
        <v>#REF!</v>
      </c>
      <c r="AF117" s="34" t="e">
        <f>AND(#REF!,"AAAAAEu7vx8=")</f>
        <v>#REF!</v>
      </c>
      <c r="AG117" s="34" t="e">
        <f>AND(#REF!,"AAAAAEu7vyA=")</f>
        <v>#REF!</v>
      </c>
      <c r="AH117" s="34" t="e">
        <f>AND(#REF!,"AAAAAEu7vyE=")</f>
        <v>#REF!</v>
      </c>
      <c r="AI117" s="34" t="e">
        <f>AND(#REF!,"AAAAAEu7vyI=")</f>
        <v>#REF!</v>
      </c>
      <c r="AJ117" s="34" t="e">
        <f>AND(#REF!,"AAAAAEu7vyM=")</f>
        <v>#REF!</v>
      </c>
      <c r="AK117" s="34" t="e">
        <f>AND(#REF!,"AAAAAEu7vyQ=")</f>
        <v>#REF!</v>
      </c>
      <c r="AL117" s="34" t="e">
        <f>AND(#REF!,"AAAAAEu7vyU=")</f>
        <v>#REF!</v>
      </c>
      <c r="AM117" s="34" t="e">
        <f>AND(#REF!,"AAAAAEu7vyY=")</f>
        <v>#REF!</v>
      </c>
      <c r="AN117" s="34" t="e">
        <f>AND(#REF!,"AAAAAEu7vyc=")</f>
        <v>#REF!</v>
      </c>
      <c r="AO117" s="34" t="e">
        <f>AND(#REF!,"AAAAAEu7vyg=")</f>
        <v>#REF!</v>
      </c>
      <c r="AP117" s="34" t="e">
        <f>IF(#REF!,"AAAAAEu7vyk=",0)</f>
        <v>#REF!</v>
      </c>
      <c r="AQ117" s="34" t="e">
        <f>AND(#REF!,"AAAAAEu7vyo=")</f>
        <v>#REF!</v>
      </c>
      <c r="AR117" s="34" t="e">
        <f>AND(#REF!,"AAAAAEu7vys=")</f>
        <v>#REF!</v>
      </c>
      <c r="AS117" s="34" t="e">
        <f>AND(#REF!,"AAAAAEu7vyw=")</f>
        <v>#REF!</v>
      </c>
      <c r="AT117" s="34" t="e">
        <f>AND(#REF!,"AAAAAEu7vy0=")</f>
        <v>#REF!</v>
      </c>
      <c r="AU117" s="34" t="e">
        <f>AND(#REF!,"AAAAAEu7vy4=")</f>
        <v>#REF!</v>
      </c>
      <c r="AV117" s="34" t="e">
        <f>AND(#REF!,"AAAAAEu7vy8=")</f>
        <v>#REF!</v>
      </c>
      <c r="AW117" s="34" t="e">
        <f>AND(#REF!,"AAAAAEu7vzA=")</f>
        <v>#REF!</v>
      </c>
      <c r="AX117" s="34" t="e">
        <f>AND(#REF!,"AAAAAEu7vzE=")</f>
        <v>#REF!</v>
      </c>
      <c r="AY117" s="34" t="e">
        <f>AND(#REF!,"AAAAAEu7vzI=")</f>
        <v>#REF!</v>
      </c>
      <c r="AZ117" s="34" t="e">
        <f>AND(#REF!,"AAAAAEu7vzM=")</f>
        <v>#REF!</v>
      </c>
      <c r="BA117" s="34" t="e">
        <f>AND(#REF!,"AAAAAEu7vzQ=")</f>
        <v>#REF!</v>
      </c>
      <c r="BB117" s="34" t="e">
        <f>AND(#REF!,"AAAAAEu7vzU=")</f>
        <v>#REF!</v>
      </c>
      <c r="BC117" s="34" t="e">
        <f>AND(#REF!,"AAAAAEu7vzY=")</f>
        <v>#REF!</v>
      </c>
      <c r="BD117" s="34" t="e">
        <f>AND(#REF!,"AAAAAEu7vzc=")</f>
        <v>#REF!</v>
      </c>
      <c r="BE117" s="34" t="e">
        <f>AND(#REF!,"AAAAAEu7vzg=")</f>
        <v>#REF!</v>
      </c>
      <c r="BF117" s="34" t="e">
        <f>AND(#REF!,"AAAAAEu7vzk=")</f>
        <v>#REF!</v>
      </c>
      <c r="BG117" s="34" t="e">
        <f>IF(#REF!,"AAAAAEu7vzo=",0)</f>
        <v>#REF!</v>
      </c>
      <c r="BH117" s="34" t="e">
        <f>AND(#REF!,"AAAAAEu7vzs=")</f>
        <v>#REF!</v>
      </c>
      <c r="BI117" s="34" t="e">
        <f>AND(#REF!,"AAAAAEu7vzw=")</f>
        <v>#REF!</v>
      </c>
      <c r="BJ117" s="34" t="e">
        <f>AND(#REF!,"AAAAAEu7vz0=")</f>
        <v>#REF!</v>
      </c>
      <c r="BK117" s="34" t="e">
        <f>AND(#REF!,"AAAAAEu7vz4=")</f>
        <v>#REF!</v>
      </c>
      <c r="BL117" s="34" t="e">
        <f>AND(#REF!,"AAAAAEu7vz8=")</f>
        <v>#REF!</v>
      </c>
      <c r="BM117" s="34" t="e">
        <f>AND(#REF!,"AAAAAEu7v0A=")</f>
        <v>#REF!</v>
      </c>
      <c r="BN117" s="34" t="e">
        <f>AND(#REF!,"AAAAAEu7v0E=")</f>
        <v>#REF!</v>
      </c>
      <c r="BO117" s="34" t="e">
        <f>AND(#REF!,"AAAAAEu7v0I=")</f>
        <v>#REF!</v>
      </c>
      <c r="BP117" s="34" t="e">
        <f>AND(#REF!,"AAAAAEu7v0M=")</f>
        <v>#REF!</v>
      </c>
      <c r="BQ117" s="34" t="e">
        <f>AND(#REF!,"AAAAAEu7v0Q=")</f>
        <v>#REF!</v>
      </c>
      <c r="BR117" s="34" t="e">
        <f>AND(#REF!,"AAAAAEu7v0U=")</f>
        <v>#REF!</v>
      </c>
      <c r="BS117" s="34" t="e">
        <f>AND(#REF!,"AAAAAEu7v0Y=")</f>
        <v>#REF!</v>
      </c>
      <c r="BT117" s="34" t="e">
        <f>AND(#REF!,"AAAAAEu7v0c=")</f>
        <v>#REF!</v>
      </c>
      <c r="BU117" s="34" t="e">
        <f>AND(#REF!,"AAAAAEu7v0g=")</f>
        <v>#REF!</v>
      </c>
      <c r="BV117" s="34" t="e">
        <f>AND(#REF!,"AAAAAEu7v0k=")</f>
        <v>#REF!</v>
      </c>
      <c r="BW117" s="34" t="e">
        <f>AND(#REF!,"AAAAAEu7v0o=")</f>
        <v>#REF!</v>
      </c>
      <c r="BX117" s="34" t="e">
        <f>IF(#REF!,"AAAAAEu7v0s=",0)</f>
        <v>#REF!</v>
      </c>
      <c r="BY117" s="34" t="e">
        <f>AND(#REF!,"AAAAAEu7v0w=")</f>
        <v>#REF!</v>
      </c>
      <c r="BZ117" s="34" t="e">
        <f>AND(#REF!,"AAAAAEu7v00=")</f>
        <v>#REF!</v>
      </c>
      <c r="CA117" s="34" t="e">
        <f>AND(#REF!,"AAAAAEu7v04=")</f>
        <v>#REF!</v>
      </c>
      <c r="CB117" s="34" t="e">
        <f>AND(#REF!,"AAAAAEu7v08=")</f>
        <v>#REF!</v>
      </c>
      <c r="CC117" s="34" t="e">
        <f>AND(#REF!,"AAAAAEu7v1A=")</f>
        <v>#REF!</v>
      </c>
      <c r="CD117" s="34" t="e">
        <f>AND(#REF!,"AAAAAEu7v1E=")</f>
        <v>#REF!</v>
      </c>
      <c r="CE117" s="34" t="e">
        <f>AND(#REF!,"AAAAAEu7v1I=")</f>
        <v>#REF!</v>
      </c>
      <c r="CF117" s="34" t="e">
        <f>AND(#REF!,"AAAAAEu7v1M=")</f>
        <v>#REF!</v>
      </c>
      <c r="CG117" s="34" t="e">
        <f>AND(#REF!,"AAAAAEu7v1Q=")</f>
        <v>#REF!</v>
      </c>
      <c r="CH117" s="34" t="e">
        <f>AND(#REF!,"AAAAAEu7v1U=")</f>
        <v>#REF!</v>
      </c>
      <c r="CI117" s="34" t="e">
        <f>AND(#REF!,"AAAAAEu7v1Y=")</f>
        <v>#REF!</v>
      </c>
      <c r="CJ117" s="34" t="e">
        <f>AND(#REF!,"AAAAAEu7v1c=")</f>
        <v>#REF!</v>
      </c>
      <c r="CK117" s="34" t="e">
        <f>AND(#REF!,"AAAAAEu7v1g=")</f>
        <v>#REF!</v>
      </c>
      <c r="CL117" s="34" t="e">
        <f>AND(#REF!,"AAAAAEu7v1k=")</f>
        <v>#REF!</v>
      </c>
      <c r="CM117" s="34" t="e">
        <f>AND(#REF!,"AAAAAEu7v1o=")</f>
        <v>#REF!</v>
      </c>
      <c r="CN117" s="34" t="e">
        <f>AND(#REF!,"AAAAAEu7v1s=")</f>
        <v>#REF!</v>
      </c>
      <c r="CO117" s="34" t="e">
        <f>IF(#REF!,"AAAAAEu7v1w=",0)</f>
        <v>#REF!</v>
      </c>
      <c r="CP117" s="34" t="e">
        <f>AND(#REF!,"AAAAAEu7v10=")</f>
        <v>#REF!</v>
      </c>
      <c r="CQ117" s="34" t="e">
        <f>AND(#REF!,"AAAAAEu7v14=")</f>
        <v>#REF!</v>
      </c>
      <c r="CR117" s="34" t="e">
        <f>AND(#REF!,"AAAAAEu7v18=")</f>
        <v>#REF!</v>
      </c>
      <c r="CS117" s="34" t="e">
        <f>AND(#REF!,"AAAAAEu7v2A=")</f>
        <v>#REF!</v>
      </c>
      <c r="CT117" s="34" t="e">
        <f>AND(#REF!,"AAAAAEu7v2E=")</f>
        <v>#REF!</v>
      </c>
      <c r="CU117" s="34" t="e">
        <f>AND(#REF!,"AAAAAEu7v2I=")</f>
        <v>#REF!</v>
      </c>
      <c r="CV117" s="34" t="e">
        <f>AND(#REF!,"AAAAAEu7v2M=")</f>
        <v>#REF!</v>
      </c>
      <c r="CW117" s="34" t="e">
        <f>AND(#REF!,"AAAAAEu7v2Q=")</f>
        <v>#REF!</v>
      </c>
      <c r="CX117" s="34" t="e">
        <f>AND(#REF!,"AAAAAEu7v2U=")</f>
        <v>#REF!</v>
      </c>
      <c r="CY117" s="34" t="e">
        <f>AND(#REF!,"AAAAAEu7v2Y=")</f>
        <v>#REF!</v>
      </c>
      <c r="CZ117" s="34" t="e">
        <f>AND(#REF!,"AAAAAEu7v2c=")</f>
        <v>#REF!</v>
      </c>
      <c r="DA117" s="34" t="e">
        <f>AND(#REF!,"AAAAAEu7v2g=")</f>
        <v>#REF!</v>
      </c>
      <c r="DB117" s="34" t="e">
        <f>AND(#REF!,"AAAAAEu7v2k=")</f>
        <v>#REF!</v>
      </c>
      <c r="DC117" s="34" t="e">
        <f>AND(#REF!,"AAAAAEu7v2o=")</f>
        <v>#REF!</v>
      </c>
      <c r="DD117" s="34" t="e">
        <f>AND(#REF!,"AAAAAEu7v2s=")</f>
        <v>#REF!</v>
      </c>
      <c r="DE117" s="34" t="e">
        <f>AND(#REF!,"AAAAAEu7v2w=")</f>
        <v>#REF!</v>
      </c>
      <c r="DF117" s="34" t="e">
        <f>IF(#REF!,"AAAAAEu7v20=",0)</f>
        <v>#REF!</v>
      </c>
      <c r="DG117" s="34" t="e">
        <f>AND(#REF!,"AAAAAEu7v24=")</f>
        <v>#REF!</v>
      </c>
      <c r="DH117" s="34" t="e">
        <f>AND(#REF!,"AAAAAEu7v28=")</f>
        <v>#REF!</v>
      </c>
      <c r="DI117" s="34" t="e">
        <f>AND(#REF!,"AAAAAEu7v3A=")</f>
        <v>#REF!</v>
      </c>
      <c r="DJ117" s="34" t="e">
        <f>AND(#REF!,"AAAAAEu7v3E=")</f>
        <v>#REF!</v>
      </c>
      <c r="DK117" s="34" t="e">
        <f>AND(#REF!,"AAAAAEu7v3I=")</f>
        <v>#REF!</v>
      </c>
      <c r="DL117" s="34" t="e">
        <f>AND(#REF!,"AAAAAEu7v3M=")</f>
        <v>#REF!</v>
      </c>
      <c r="DM117" s="34" t="e">
        <f>AND(#REF!,"AAAAAEu7v3Q=")</f>
        <v>#REF!</v>
      </c>
      <c r="DN117" s="34" t="e">
        <f>AND(#REF!,"AAAAAEu7v3U=")</f>
        <v>#REF!</v>
      </c>
      <c r="DO117" s="34" t="e">
        <f>AND(#REF!,"AAAAAEu7v3Y=")</f>
        <v>#REF!</v>
      </c>
      <c r="DP117" s="34" t="e">
        <f>AND(#REF!,"AAAAAEu7v3c=")</f>
        <v>#REF!</v>
      </c>
      <c r="DQ117" s="34" t="e">
        <f>AND(#REF!,"AAAAAEu7v3g=")</f>
        <v>#REF!</v>
      </c>
      <c r="DR117" s="34" t="e">
        <f>AND(#REF!,"AAAAAEu7v3k=")</f>
        <v>#REF!</v>
      </c>
      <c r="DS117" s="34" t="e">
        <f>AND(#REF!,"AAAAAEu7v3o=")</f>
        <v>#REF!</v>
      </c>
      <c r="DT117" s="34" t="e">
        <f>AND(#REF!,"AAAAAEu7v3s=")</f>
        <v>#REF!</v>
      </c>
      <c r="DU117" s="34" t="e">
        <f>AND(#REF!,"AAAAAEu7v3w=")</f>
        <v>#REF!</v>
      </c>
      <c r="DV117" s="34" t="e">
        <f>AND(#REF!,"AAAAAEu7v30=")</f>
        <v>#REF!</v>
      </c>
      <c r="DW117" s="34" t="e">
        <f>IF(#REF!,"AAAAAEu7v34=",0)</f>
        <v>#REF!</v>
      </c>
      <c r="DX117" s="34" t="e">
        <f>AND(#REF!,"AAAAAEu7v38=")</f>
        <v>#REF!</v>
      </c>
      <c r="DY117" s="34" t="e">
        <f>AND(#REF!,"AAAAAEu7v4A=")</f>
        <v>#REF!</v>
      </c>
      <c r="DZ117" s="34" t="e">
        <f>AND(#REF!,"AAAAAEu7v4E=")</f>
        <v>#REF!</v>
      </c>
      <c r="EA117" s="34" t="e">
        <f>AND(#REF!,"AAAAAEu7v4I=")</f>
        <v>#REF!</v>
      </c>
      <c r="EB117" s="34" t="e">
        <f>AND(#REF!,"AAAAAEu7v4M=")</f>
        <v>#REF!</v>
      </c>
      <c r="EC117" s="34" t="e">
        <f>AND(#REF!,"AAAAAEu7v4Q=")</f>
        <v>#REF!</v>
      </c>
      <c r="ED117" s="34" t="e">
        <f>AND(#REF!,"AAAAAEu7v4U=")</f>
        <v>#REF!</v>
      </c>
      <c r="EE117" s="34" t="e">
        <f>AND(#REF!,"AAAAAEu7v4Y=")</f>
        <v>#REF!</v>
      </c>
      <c r="EF117" s="34" t="e">
        <f>AND(#REF!,"AAAAAEu7v4c=")</f>
        <v>#REF!</v>
      </c>
      <c r="EG117" s="34" t="e">
        <f>AND(#REF!,"AAAAAEu7v4g=")</f>
        <v>#REF!</v>
      </c>
      <c r="EH117" s="34" t="e">
        <f>AND(#REF!,"AAAAAEu7v4k=")</f>
        <v>#REF!</v>
      </c>
      <c r="EI117" s="34" t="e">
        <f>AND(#REF!,"AAAAAEu7v4o=")</f>
        <v>#REF!</v>
      </c>
      <c r="EJ117" s="34" t="e">
        <f>AND(#REF!,"AAAAAEu7v4s=")</f>
        <v>#REF!</v>
      </c>
      <c r="EK117" s="34" t="e">
        <f>AND(#REF!,"AAAAAEu7v4w=")</f>
        <v>#REF!</v>
      </c>
      <c r="EL117" s="34" t="e">
        <f>AND(#REF!,"AAAAAEu7v40=")</f>
        <v>#REF!</v>
      </c>
      <c r="EM117" s="34" t="e">
        <f>AND(#REF!,"AAAAAEu7v44=")</f>
        <v>#REF!</v>
      </c>
      <c r="EN117" s="34" t="e">
        <f>IF(#REF!,"AAAAAEu7v48=",0)</f>
        <v>#REF!</v>
      </c>
      <c r="EO117" s="34" t="e">
        <f>AND(#REF!,"AAAAAEu7v5A=")</f>
        <v>#REF!</v>
      </c>
      <c r="EP117" s="34" t="e">
        <f>AND(#REF!,"AAAAAEu7v5E=")</f>
        <v>#REF!</v>
      </c>
      <c r="EQ117" s="34" t="e">
        <f>AND(#REF!,"AAAAAEu7v5I=")</f>
        <v>#REF!</v>
      </c>
      <c r="ER117" s="34" t="e">
        <f>AND(#REF!,"AAAAAEu7v5M=")</f>
        <v>#REF!</v>
      </c>
      <c r="ES117" s="34" t="e">
        <f>AND(#REF!,"AAAAAEu7v5Q=")</f>
        <v>#REF!</v>
      </c>
      <c r="ET117" s="34" t="e">
        <f>AND(#REF!,"AAAAAEu7v5U=")</f>
        <v>#REF!</v>
      </c>
      <c r="EU117" s="34" t="e">
        <f>AND(#REF!,"AAAAAEu7v5Y=")</f>
        <v>#REF!</v>
      </c>
      <c r="EV117" s="34" t="e">
        <f>AND(#REF!,"AAAAAEu7v5c=")</f>
        <v>#REF!</v>
      </c>
      <c r="EW117" s="34" t="e">
        <f>AND(#REF!,"AAAAAEu7v5g=")</f>
        <v>#REF!</v>
      </c>
      <c r="EX117" s="34" t="e">
        <f>AND(#REF!,"AAAAAEu7v5k=")</f>
        <v>#REF!</v>
      </c>
      <c r="EY117" s="34" t="e">
        <f>AND(#REF!,"AAAAAEu7v5o=")</f>
        <v>#REF!</v>
      </c>
      <c r="EZ117" s="34" t="e">
        <f>AND(#REF!,"AAAAAEu7v5s=")</f>
        <v>#REF!</v>
      </c>
      <c r="FA117" s="34" t="e">
        <f>AND(#REF!,"AAAAAEu7v5w=")</f>
        <v>#REF!</v>
      </c>
      <c r="FB117" s="34" t="e">
        <f>AND(#REF!,"AAAAAEu7v50=")</f>
        <v>#REF!</v>
      </c>
      <c r="FC117" s="34" t="e">
        <f>AND(#REF!,"AAAAAEu7v54=")</f>
        <v>#REF!</v>
      </c>
      <c r="FD117" s="34" t="e">
        <f>AND(#REF!,"AAAAAEu7v58=")</f>
        <v>#REF!</v>
      </c>
      <c r="FE117" s="34" t="e">
        <f>IF(#REF!,"AAAAAEu7v6A=",0)</f>
        <v>#REF!</v>
      </c>
      <c r="FF117" s="34" t="e">
        <f>AND(#REF!,"AAAAAEu7v6E=")</f>
        <v>#REF!</v>
      </c>
      <c r="FG117" s="34" t="e">
        <f>AND(#REF!,"AAAAAEu7v6I=")</f>
        <v>#REF!</v>
      </c>
      <c r="FH117" s="34" t="e">
        <f>AND(#REF!,"AAAAAEu7v6M=")</f>
        <v>#REF!</v>
      </c>
      <c r="FI117" s="34" t="e">
        <f>AND(#REF!,"AAAAAEu7v6Q=")</f>
        <v>#REF!</v>
      </c>
      <c r="FJ117" s="34" t="e">
        <f>AND(#REF!,"AAAAAEu7v6U=")</f>
        <v>#REF!</v>
      </c>
      <c r="FK117" s="34" t="e">
        <f>AND(#REF!,"AAAAAEu7v6Y=")</f>
        <v>#REF!</v>
      </c>
      <c r="FL117" s="34" t="e">
        <f>AND(#REF!,"AAAAAEu7v6c=")</f>
        <v>#REF!</v>
      </c>
      <c r="FM117" s="34" t="e">
        <f>AND(#REF!,"AAAAAEu7v6g=")</f>
        <v>#REF!</v>
      </c>
      <c r="FN117" s="34" t="e">
        <f>AND(#REF!,"AAAAAEu7v6k=")</f>
        <v>#REF!</v>
      </c>
      <c r="FO117" s="34" t="e">
        <f>AND(#REF!,"AAAAAEu7v6o=")</f>
        <v>#REF!</v>
      </c>
      <c r="FP117" s="34" t="e">
        <f>AND(#REF!,"AAAAAEu7v6s=")</f>
        <v>#REF!</v>
      </c>
      <c r="FQ117" s="34" t="e">
        <f>AND(#REF!,"AAAAAEu7v6w=")</f>
        <v>#REF!</v>
      </c>
      <c r="FR117" s="34" t="e">
        <f>AND(#REF!,"AAAAAEu7v60=")</f>
        <v>#REF!</v>
      </c>
      <c r="FS117" s="34" t="e">
        <f>AND(#REF!,"AAAAAEu7v64=")</f>
        <v>#REF!</v>
      </c>
      <c r="FT117" s="34" t="e">
        <f>AND(#REF!,"AAAAAEu7v68=")</f>
        <v>#REF!</v>
      </c>
      <c r="FU117" s="34" t="e">
        <f>AND(#REF!,"AAAAAEu7v7A=")</f>
        <v>#REF!</v>
      </c>
      <c r="FV117" s="34" t="e">
        <f>IF(#REF!,"AAAAAEu7v7E=",0)</f>
        <v>#REF!</v>
      </c>
      <c r="FW117" s="34" t="e">
        <f>AND(#REF!,"AAAAAEu7v7I=")</f>
        <v>#REF!</v>
      </c>
      <c r="FX117" s="34" t="e">
        <f>AND(#REF!,"AAAAAEu7v7M=")</f>
        <v>#REF!</v>
      </c>
      <c r="FY117" s="34" t="e">
        <f>AND(#REF!,"AAAAAEu7v7Q=")</f>
        <v>#REF!</v>
      </c>
      <c r="FZ117" s="34" t="e">
        <f>AND(#REF!,"AAAAAEu7v7U=")</f>
        <v>#REF!</v>
      </c>
      <c r="GA117" s="34" t="e">
        <f>AND(#REF!,"AAAAAEu7v7Y=")</f>
        <v>#REF!</v>
      </c>
      <c r="GB117" s="34" t="e">
        <f>AND(#REF!,"AAAAAEu7v7c=")</f>
        <v>#REF!</v>
      </c>
      <c r="GC117" s="34" t="e">
        <f>AND(#REF!,"AAAAAEu7v7g=")</f>
        <v>#REF!</v>
      </c>
      <c r="GD117" s="34" t="e">
        <f>AND(#REF!,"AAAAAEu7v7k=")</f>
        <v>#REF!</v>
      </c>
      <c r="GE117" s="34" t="e">
        <f>AND(#REF!,"AAAAAEu7v7o=")</f>
        <v>#REF!</v>
      </c>
      <c r="GF117" s="34" t="e">
        <f>AND(#REF!,"AAAAAEu7v7s=")</f>
        <v>#REF!</v>
      </c>
      <c r="GG117" s="34" t="e">
        <f>AND(#REF!,"AAAAAEu7v7w=")</f>
        <v>#REF!</v>
      </c>
      <c r="GH117" s="34" t="e">
        <f>AND(#REF!,"AAAAAEu7v70=")</f>
        <v>#REF!</v>
      </c>
      <c r="GI117" s="34" t="e">
        <f>AND(#REF!,"AAAAAEu7v74=")</f>
        <v>#REF!</v>
      </c>
      <c r="GJ117" s="34" t="e">
        <f>AND(#REF!,"AAAAAEu7v78=")</f>
        <v>#REF!</v>
      </c>
      <c r="GK117" s="34" t="e">
        <f>AND(#REF!,"AAAAAEu7v8A=")</f>
        <v>#REF!</v>
      </c>
      <c r="GL117" s="34" t="e">
        <f>AND(#REF!,"AAAAAEu7v8E=")</f>
        <v>#REF!</v>
      </c>
      <c r="GM117" s="34" t="e">
        <f>IF(#REF!,"AAAAAEu7v8I=",0)</f>
        <v>#REF!</v>
      </c>
      <c r="GN117" s="34" t="e">
        <f>AND(#REF!,"AAAAAEu7v8M=")</f>
        <v>#REF!</v>
      </c>
      <c r="GO117" s="34" t="e">
        <f>AND(#REF!,"AAAAAEu7v8Q=")</f>
        <v>#REF!</v>
      </c>
      <c r="GP117" s="34" t="e">
        <f>AND(#REF!,"AAAAAEu7v8U=")</f>
        <v>#REF!</v>
      </c>
      <c r="GQ117" s="34" t="e">
        <f>AND(#REF!,"AAAAAEu7v8Y=")</f>
        <v>#REF!</v>
      </c>
      <c r="GR117" s="34" t="e">
        <f>AND(#REF!,"AAAAAEu7v8c=")</f>
        <v>#REF!</v>
      </c>
      <c r="GS117" s="34" t="e">
        <f>AND(#REF!,"AAAAAEu7v8g=")</f>
        <v>#REF!</v>
      </c>
      <c r="GT117" s="34" t="e">
        <f>AND(#REF!,"AAAAAEu7v8k=")</f>
        <v>#REF!</v>
      </c>
      <c r="GU117" s="34" t="e">
        <f>AND(#REF!,"AAAAAEu7v8o=")</f>
        <v>#REF!</v>
      </c>
      <c r="GV117" s="34" t="e">
        <f>AND(#REF!,"AAAAAEu7v8s=")</f>
        <v>#REF!</v>
      </c>
      <c r="GW117" s="34" t="e">
        <f>AND(#REF!,"AAAAAEu7v8w=")</f>
        <v>#REF!</v>
      </c>
      <c r="GX117" s="34" t="e">
        <f>AND(#REF!,"AAAAAEu7v80=")</f>
        <v>#REF!</v>
      </c>
      <c r="GY117" s="34" t="e">
        <f>AND(#REF!,"AAAAAEu7v84=")</f>
        <v>#REF!</v>
      </c>
      <c r="GZ117" s="34" t="e">
        <f>AND(#REF!,"AAAAAEu7v88=")</f>
        <v>#REF!</v>
      </c>
      <c r="HA117" s="34" t="e">
        <f>AND(#REF!,"AAAAAEu7v9A=")</f>
        <v>#REF!</v>
      </c>
      <c r="HB117" s="34" t="e">
        <f>AND(#REF!,"AAAAAEu7v9E=")</f>
        <v>#REF!</v>
      </c>
      <c r="HC117" s="34" t="e">
        <f>AND(#REF!,"AAAAAEu7v9I=")</f>
        <v>#REF!</v>
      </c>
      <c r="HD117" s="34" t="e">
        <f>IF(#REF!,"AAAAAEu7v9M=",0)</f>
        <v>#REF!</v>
      </c>
      <c r="HE117" s="34" t="e">
        <f>AND(#REF!,"AAAAAEu7v9Q=")</f>
        <v>#REF!</v>
      </c>
      <c r="HF117" s="34" t="e">
        <f>AND(#REF!,"AAAAAEu7v9U=")</f>
        <v>#REF!</v>
      </c>
      <c r="HG117" s="34" t="e">
        <f>AND(#REF!,"AAAAAEu7v9Y=")</f>
        <v>#REF!</v>
      </c>
      <c r="HH117" s="34" t="e">
        <f>AND(#REF!,"AAAAAEu7v9c=")</f>
        <v>#REF!</v>
      </c>
      <c r="HI117" s="34" t="e">
        <f>AND(#REF!,"AAAAAEu7v9g=")</f>
        <v>#REF!</v>
      </c>
      <c r="HJ117" s="34" t="e">
        <f>AND(#REF!,"AAAAAEu7v9k=")</f>
        <v>#REF!</v>
      </c>
      <c r="HK117" s="34" t="e">
        <f>AND(#REF!,"AAAAAEu7v9o=")</f>
        <v>#REF!</v>
      </c>
      <c r="HL117" s="34" t="e">
        <f>AND(#REF!,"AAAAAEu7v9s=")</f>
        <v>#REF!</v>
      </c>
      <c r="HM117" s="34" t="e">
        <f>AND(#REF!,"AAAAAEu7v9w=")</f>
        <v>#REF!</v>
      </c>
      <c r="HN117" s="34" t="e">
        <f>AND(#REF!,"AAAAAEu7v90=")</f>
        <v>#REF!</v>
      </c>
      <c r="HO117" s="34" t="e">
        <f>AND(#REF!,"AAAAAEu7v94=")</f>
        <v>#REF!</v>
      </c>
      <c r="HP117" s="34" t="e">
        <f>AND(#REF!,"AAAAAEu7v98=")</f>
        <v>#REF!</v>
      </c>
      <c r="HQ117" s="34" t="e">
        <f>AND(#REF!,"AAAAAEu7v+A=")</f>
        <v>#REF!</v>
      </c>
      <c r="HR117" s="34" t="e">
        <f>AND(#REF!,"AAAAAEu7v+E=")</f>
        <v>#REF!</v>
      </c>
      <c r="HS117" s="34" t="e">
        <f>AND(#REF!,"AAAAAEu7v+I=")</f>
        <v>#REF!</v>
      </c>
      <c r="HT117" s="34" t="e">
        <f>AND(#REF!,"AAAAAEu7v+M=")</f>
        <v>#REF!</v>
      </c>
      <c r="HU117" s="34" t="e">
        <f>IF(#REF!,"AAAAAEu7v+Q=",0)</f>
        <v>#REF!</v>
      </c>
      <c r="HV117" s="34" t="e">
        <f>AND(#REF!,"AAAAAEu7v+U=")</f>
        <v>#REF!</v>
      </c>
      <c r="HW117" s="34" t="e">
        <f>AND(#REF!,"AAAAAEu7v+Y=")</f>
        <v>#REF!</v>
      </c>
      <c r="HX117" s="34" t="e">
        <f>AND(#REF!,"AAAAAEu7v+c=")</f>
        <v>#REF!</v>
      </c>
      <c r="HY117" s="34" t="e">
        <f>AND(#REF!,"AAAAAEu7v+g=")</f>
        <v>#REF!</v>
      </c>
      <c r="HZ117" s="34" t="e">
        <f>AND(#REF!,"AAAAAEu7v+k=")</f>
        <v>#REF!</v>
      </c>
      <c r="IA117" s="34" t="e">
        <f>AND(#REF!,"AAAAAEu7v+o=")</f>
        <v>#REF!</v>
      </c>
      <c r="IB117" s="34" t="e">
        <f>AND(#REF!,"AAAAAEu7v+s=")</f>
        <v>#REF!</v>
      </c>
      <c r="IC117" s="34" t="e">
        <f>AND(#REF!,"AAAAAEu7v+w=")</f>
        <v>#REF!</v>
      </c>
      <c r="ID117" s="34" t="e">
        <f>AND(#REF!,"AAAAAEu7v+0=")</f>
        <v>#REF!</v>
      </c>
      <c r="IE117" s="34" t="e">
        <f>AND(#REF!,"AAAAAEu7v+4=")</f>
        <v>#REF!</v>
      </c>
      <c r="IF117" s="34" t="e">
        <f>AND(#REF!,"AAAAAEu7v+8=")</f>
        <v>#REF!</v>
      </c>
      <c r="IG117" s="34" t="e">
        <f>AND(#REF!,"AAAAAEu7v/A=")</f>
        <v>#REF!</v>
      </c>
      <c r="IH117" s="34" t="e">
        <f>AND(#REF!,"AAAAAEu7v/E=")</f>
        <v>#REF!</v>
      </c>
      <c r="II117" s="34" t="e">
        <f>AND(#REF!,"AAAAAEu7v/I=")</f>
        <v>#REF!</v>
      </c>
      <c r="IJ117" s="34" t="e">
        <f>AND(#REF!,"AAAAAEu7v/M=")</f>
        <v>#REF!</v>
      </c>
      <c r="IK117" s="34" t="e">
        <f>AND(#REF!,"AAAAAEu7v/Q=")</f>
        <v>#REF!</v>
      </c>
      <c r="IL117" s="34" t="e">
        <f>IF(#REF!,"AAAAAEu7v/U=",0)</f>
        <v>#REF!</v>
      </c>
      <c r="IM117" s="34" t="e">
        <f>AND(#REF!,"AAAAAEu7v/Y=")</f>
        <v>#REF!</v>
      </c>
      <c r="IN117" s="34" t="e">
        <f>AND(#REF!,"AAAAAEu7v/c=")</f>
        <v>#REF!</v>
      </c>
      <c r="IO117" s="34" t="e">
        <f>AND(#REF!,"AAAAAEu7v/g=")</f>
        <v>#REF!</v>
      </c>
      <c r="IP117" s="34" t="e">
        <f>AND(#REF!,"AAAAAEu7v/k=")</f>
        <v>#REF!</v>
      </c>
      <c r="IQ117" s="34" t="e">
        <f>AND(#REF!,"AAAAAEu7v/o=")</f>
        <v>#REF!</v>
      </c>
      <c r="IR117" s="34" t="e">
        <f>AND(#REF!,"AAAAAEu7v/s=")</f>
        <v>#REF!</v>
      </c>
      <c r="IS117" s="34" t="e">
        <f>AND(#REF!,"AAAAAEu7v/w=")</f>
        <v>#REF!</v>
      </c>
      <c r="IT117" s="34" t="e">
        <f>AND(#REF!,"AAAAAEu7v/0=")</f>
        <v>#REF!</v>
      </c>
      <c r="IU117" s="34" t="e">
        <f>AND(#REF!,"AAAAAEu7v/4=")</f>
        <v>#REF!</v>
      </c>
      <c r="IV117" s="34" t="e">
        <f>AND(#REF!,"AAAAAEu7v/8=")</f>
        <v>#REF!</v>
      </c>
    </row>
    <row r="118" spans="1:256" ht="12.75" customHeight="1" x14ac:dyDescent="0.2">
      <c r="A118" s="34" t="e">
        <f>AND(#REF!,"AAAAAH//VwA=")</f>
        <v>#REF!</v>
      </c>
      <c r="B118" s="34" t="e">
        <f>AND(#REF!,"AAAAAH//VwE=")</f>
        <v>#REF!</v>
      </c>
      <c r="C118" s="34" t="e">
        <f>AND(#REF!,"AAAAAH//VwI=")</f>
        <v>#REF!</v>
      </c>
      <c r="D118" s="34" t="e">
        <f>AND(#REF!,"AAAAAH//VwM=")</f>
        <v>#REF!</v>
      </c>
      <c r="E118" s="34" t="e">
        <f>AND(#REF!,"AAAAAH//VwQ=")</f>
        <v>#REF!</v>
      </c>
      <c r="F118" s="34" t="e">
        <f>AND(#REF!,"AAAAAH//VwU=")</f>
        <v>#REF!</v>
      </c>
      <c r="G118" s="34" t="e">
        <f>IF(#REF!,"AAAAAH//VwY=",0)</f>
        <v>#REF!</v>
      </c>
      <c r="H118" s="34" t="e">
        <f>AND(#REF!,"AAAAAH//Vwc=")</f>
        <v>#REF!</v>
      </c>
      <c r="I118" s="34" t="e">
        <f>AND(#REF!,"AAAAAH//Vwg=")</f>
        <v>#REF!</v>
      </c>
      <c r="J118" s="34" t="e">
        <f>AND(#REF!,"AAAAAH//Vwk=")</f>
        <v>#REF!</v>
      </c>
      <c r="K118" s="34" t="e">
        <f>AND(#REF!,"AAAAAH//Vwo=")</f>
        <v>#REF!</v>
      </c>
      <c r="L118" s="34" t="e">
        <f>AND(#REF!,"AAAAAH//Vws=")</f>
        <v>#REF!</v>
      </c>
      <c r="M118" s="34" t="e">
        <f>AND(#REF!,"AAAAAH//Vww=")</f>
        <v>#REF!</v>
      </c>
      <c r="N118" s="34" t="e">
        <f>AND(#REF!,"AAAAAH//Vw0=")</f>
        <v>#REF!</v>
      </c>
      <c r="O118" s="34" t="e">
        <f>AND(#REF!,"AAAAAH//Vw4=")</f>
        <v>#REF!</v>
      </c>
      <c r="P118" s="34" t="e">
        <f>AND(#REF!,"AAAAAH//Vw8=")</f>
        <v>#REF!</v>
      </c>
      <c r="Q118" s="34" t="e">
        <f>AND(#REF!,"AAAAAH//VxA=")</f>
        <v>#REF!</v>
      </c>
      <c r="R118" s="34" t="e">
        <f>AND(#REF!,"AAAAAH//VxE=")</f>
        <v>#REF!</v>
      </c>
      <c r="S118" s="34" t="e">
        <f>AND(#REF!,"AAAAAH//VxI=")</f>
        <v>#REF!</v>
      </c>
      <c r="T118" s="34" t="e">
        <f>AND(#REF!,"AAAAAH//VxM=")</f>
        <v>#REF!</v>
      </c>
      <c r="U118" s="34" t="e">
        <f>AND(#REF!,"AAAAAH//VxQ=")</f>
        <v>#REF!</v>
      </c>
      <c r="V118" s="34" t="e">
        <f>AND(#REF!,"AAAAAH//VxU=")</f>
        <v>#REF!</v>
      </c>
      <c r="W118" s="34" t="e">
        <f>AND(#REF!,"AAAAAH//VxY=")</f>
        <v>#REF!</v>
      </c>
      <c r="X118" s="34" t="e">
        <f>IF(#REF!,"AAAAAH//Vxc=",0)</f>
        <v>#REF!</v>
      </c>
      <c r="Y118" s="34" t="e">
        <f>AND(#REF!,"AAAAAH//Vxg=")</f>
        <v>#REF!</v>
      </c>
      <c r="Z118" s="34" t="e">
        <f>AND(#REF!,"AAAAAH//Vxk=")</f>
        <v>#REF!</v>
      </c>
      <c r="AA118" s="34" t="e">
        <f>AND(#REF!,"AAAAAH//Vxo=")</f>
        <v>#REF!</v>
      </c>
      <c r="AB118" s="34" t="e">
        <f>AND(#REF!,"AAAAAH//Vxs=")</f>
        <v>#REF!</v>
      </c>
      <c r="AC118" s="34" t="e">
        <f>AND(#REF!,"AAAAAH//Vxw=")</f>
        <v>#REF!</v>
      </c>
      <c r="AD118" s="34" t="e">
        <f>AND(#REF!,"AAAAAH//Vx0=")</f>
        <v>#REF!</v>
      </c>
      <c r="AE118" s="34" t="e">
        <f>AND(#REF!,"AAAAAH//Vx4=")</f>
        <v>#REF!</v>
      </c>
      <c r="AF118" s="34" t="e">
        <f>AND(#REF!,"AAAAAH//Vx8=")</f>
        <v>#REF!</v>
      </c>
      <c r="AG118" s="34" t="e">
        <f>AND(#REF!,"AAAAAH//VyA=")</f>
        <v>#REF!</v>
      </c>
      <c r="AH118" s="34" t="e">
        <f>AND(#REF!,"AAAAAH//VyE=")</f>
        <v>#REF!</v>
      </c>
      <c r="AI118" s="34" t="e">
        <f>AND(#REF!,"AAAAAH//VyI=")</f>
        <v>#REF!</v>
      </c>
      <c r="AJ118" s="34" t="e">
        <f>AND(#REF!,"AAAAAH//VyM=")</f>
        <v>#REF!</v>
      </c>
      <c r="AK118" s="34" t="e">
        <f>AND(#REF!,"AAAAAH//VyQ=")</f>
        <v>#REF!</v>
      </c>
      <c r="AL118" s="34" t="e">
        <f>AND(#REF!,"AAAAAH//VyU=")</f>
        <v>#REF!</v>
      </c>
      <c r="AM118" s="34" t="e">
        <f>AND(#REF!,"AAAAAH//VyY=")</f>
        <v>#REF!</v>
      </c>
      <c r="AN118" s="34" t="e">
        <f>AND(#REF!,"AAAAAH//Vyc=")</f>
        <v>#REF!</v>
      </c>
      <c r="AO118" s="34" t="e">
        <f>IF(#REF!,"AAAAAH//Vyg=",0)</f>
        <v>#REF!</v>
      </c>
      <c r="AP118" s="34" t="e">
        <f>AND(#REF!,"AAAAAH//Vyk=")</f>
        <v>#REF!</v>
      </c>
      <c r="AQ118" s="34" t="e">
        <f>AND(#REF!,"AAAAAH//Vyo=")</f>
        <v>#REF!</v>
      </c>
      <c r="AR118" s="34" t="e">
        <f>AND(#REF!,"AAAAAH//Vys=")</f>
        <v>#REF!</v>
      </c>
      <c r="AS118" s="34" t="e">
        <f>AND(#REF!,"AAAAAH//Vyw=")</f>
        <v>#REF!</v>
      </c>
      <c r="AT118" s="34" t="e">
        <f>AND(#REF!,"AAAAAH//Vy0=")</f>
        <v>#REF!</v>
      </c>
      <c r="AU118" s="34" t="e">
        <f>AND(#REF!,"AAAAAH//Vy4=")</f>
        <v>#REF!</v>
      </c>
      <c r="AV118" s="34" t="e">
        <f>AND(#REF!,"AAAAAH//Vy8=")</f>
        <v>#REF!</v>
      </c>
      <c r="AW118" s="34" t="e">
        <f>AND(#REF!,"AAAAAH//VzA=")</f>
        <v>#REF!</v>
      </c>
      <c r="AX118" s="34" t="e">
        <f>AND(#REF!,"AAAAAH//VzE=")</f>
        <v>#REF!</v>
      </c>
      <c r="AY118" s="34" t="e">
        <f>AND(#REF!,"AAAAAH//VzI=")</f>
        <v>#REF!</v>
      </c>
      <c r="AZ118" s="34" t="e">
        <f>AND(#REF!,"AAAAAH//VzM=")</f>
        <v>#REF!</v>
      </c>
      <c r="BA118" s="34" t="e">
        <f>AND(#REF!,"AAAAAH//VzQ=")</f>
        <v>#REF!</v>
      </c>
      <c r="BB118" s="34" t="e">
        <f>AND(#REF!,"AAAAAH//VzU=")</f>
        <v>#REF!</v>
      </c>
      <c r="BC118" s="34" t="e">
        <f>AND(#REF!,"AAAAAH//VzY=")</f>
        <v>#REF!</v>
      </c>
      <c r="BD118" s="34" t="e">
        <f>AND(#REF!,"AAAAAH//Vzc=")</f>
        <v>#REF!</v>
      </c>
      <c r="BE118" s="34" t="e">
        <f>AND(#REF!,"AAAAAH//Vzg=")</f>
        <v>#REF!</v>
      </c>
      <c r="BF118" s="34" t="e">
        <f>IF(#REF!,"AAAAAH//Vzk=",0)</f>
        <v>#REF!</v>
      </c>
      <c r="BG118" s="34" t="e">
        <f>AND(#REF!,"AAAAAH//Vzo=")</f>
        <v>#REF!</v>
      </c>
      <c r="BH118" s="34" t="e">
        <f>AND(#REF!,"AAAAAH//Vzs=")</f>
        <v>#REF!</v>
      </c>
      <c r="BI118" s="34" t="e">
        <f>AND(#REF!,"AAAAAH//Vzw=")</f>
        <v>#REF!</v>
      </c>
      <c r="BJ118" s="34" t="e">
        <f>AND(#REF!,"AAAAAH//Vz0=")</f>
        <v>#REF!</v>
      </c>
      <c r="BK118" s="34" t="e">
        <f>AND(#REF!,"AAAAAH//Vz4=")</f>
        <v>#REF!</v>
      </c>
      <c r="BL118" s="34" t="e">
        <f>AND(#REF!,"AAAAAH//Vz8=")</f>
        <v>#REF!</v>
      </c>
      <c r="BM118" s="34" t="e">
        <f>AND(#REF!,"AAAAAH//V0A=")</f>
        <v>#REF!</v>
      </c>
      <c r="BN118" s="34" t="e">
        <f>AND(#REF!,"AAAAAH//V0E=")</f>
        <v>#REF!</v>
      </c>
      <c r="BO118" s="34" t="e">
        <f>AND(#REF!,"AAAAAH//V0I=")</f>
        <v>#REF!</v>
      </c>
      <c r="BP118" s="34" t="e">
        <f>AND(#REF!,"AAAAAH//V0M=")</f>
        <v>#REF!</v>
      </c>
      <c r="BQ118" s="34" t="e">
        <f>AND(#REF!,"AAAAAH//V0Q=")</f>
        <v>#REF!</v>
      </c>
      <c r="BR118" s="34" t="e">
        <f>AND(#REF!,"AAAAAH//V0U=")</f>
        <v>#REF!</v>
      </c>
      <c r="BS118" s="34" t="e">
        <f>AND(#REF!,"AAAAAH//V0Y=")</f>
        <v>#REF!</v>
      </c>
      <c r="BT118" s="34" t="e">
        <f>AND(#REF!,"AAAAAH//V0c=")</f>
        <v>#REF!</v>
      </c>
      <c r="BU118" s="34" t="e">
        <f>AND(#REF!,"AAAAAH//V0g=")</f>
        <v>#REF!</v>
      </c>
      <c r="BV118" s="34" t="e">
        <f>AND(#REF!,"AAAAAH//V0k=")</f>
        <v>#REF!</v>
      </c>
      <c r="BW118" s="34" t="e">
        <f>IF(#REF!,"AAAAAH//V0o=",0)</f>
        <v>#REF!</v>
      </c>
      <c r="BX118" s="34" t="e">
        <f>AND(#REF!,"AAAAAH//V0s=")</f>
        <v>#REF!</v>
      </c>
      <c r="BY118" s="34" t="e">
        <f>AND(#REF!,"AAAAAH//V0w=")</f>
        <v>#REF!</v>
      </c>
      <c r="BZ118" s="34" t="e">
        <f>AND(#REF!,"AAAAAH//V00=")</f>
        <v>#REF!</v>
      </c>
      <c r="CA118" s="34" t="e">
        <f>AND(#REF!,"AAAAAH//V04=")</f>
        <v>#REF!</v>
      </c>
      <c r="CB118" s="34" t="e">
        <f>AND(#REF!,"AAAAAH//V08=")</f>
        <v>#REF!</v>
      </c>
      <c r="CC118" s="34" t="e">
        <f>AND(#REF!,"AAAAAH//V1A=")</f>
        <v>#REF!</v>
      </c>
      <c r="CD118" s="34" t="e">
        <f>AND(#REF!,"AAAAAH//V1E=")</f>
        <v>#REF!</v>
      </c>
      <c r="CE118" s="34" t="e">
        <f>AND(#REF!,"AAAAAH//V1I=")</f>
        <v>#REF!</v>
      </c>
      <c r="CF118" s="34" t="e">
        <f>AND(#REF!,"AAAAAH//V1M=")</f>
        <v>#REF!</v>
      </c>
      <c r="CG118" s="34" t="e">
        <f>AND(#REF!,"AAAAAH//V1Q=")</f>
        <v>#REF!</v>
      </c>
      <c r="CH118" s="34" t="e">
        <f>AND(#REF!,"AAAAAH//V1U=")</f>
        <v>#REF!</v>
      </c>
      <c r="CI118" s="34" t="e">
        <f>AND(#REF!,"AAAAAH//V1Y=")</f>
        <v>#REF!</v>
      </c>
      <c r="CJ118" s="34" t="e">
        <f>AND(#REF!,"AAAAAH//V1c=")</f>
        <v>#REF!</v>
      </c>
      <c r="CK118" s="34" t="e">
        <f>AND(#REF!,"AAAAAH//V1g=")</f>
        <v>#REF!</v>
      </c>
      <c r="CL118" s="34" t="e">
        <f>AND(#REF!,"AAAAAH//V1k=")</f>
        <v>#REF!</v>
      </c>
      <c r="CM118" s="34" t="e">
        <f>AND(#REF!,"AAAAAH//V1o=")</f>
        <v>#REF!</v>
      </c>
      <c r="CN118" s="34" t="e">
        <f>IF(#REF!,"AAAAAH//V1s=",0)</f>
        <v>#REF!</v>
      </c>
      <c r="CO118" s="34" t="e">
        <f>AND(#REF!,"AAAAAH//V1w=")</f>
        <v>#REF!</v>
      </c>
      <c r="CP118" s="34" t="e">
        <f>AND(#REF!,"AAAAAH//V10=")</f>
        <v>#REF!</v>
      </c>
      <c r="CQ118" s="34" t="e">
        <f>AND(#REF!,"AAAAAH//V14=")</f>
        <v>#REF!</v>
      </c>
      <c r="CR118" s="34" t="e">
        <f>AND(#REF!,"AAAAAH//V18=")</f>
        <v>#REF!</v>
      </c>
      <c r="CS118" s="34" t="e">
        <f>AND(#REF!,"AAAAAH//V2A=")</f>
        <v>#REF!</v>
      </c>
      <c r="CT118" s="34" t="e">
        <f>AND(#REF!,"AAAAAH//V2E=")</f>
        <v>#REF!</v>
      </c>
      <c r="CU118" s="34" t="e">
        <f>AND(#REF!,"AAAAAH//V2I=")</f>
        <v>#REF!</v>
      </c>
      <c r="CV118" s="34" t="e">
        <f>AND(#REF!,"AAAAAH//V2M=")</f>
        <v>#REF!</v>
      </c>
      <c r="CW118" s="34" t="e">
        <f>AND(#REF!,"AAAAAH//V2Q=")</f>
        <v>#REF!</v>
      </c>
      <c r="CX118" s="34" t="e">
        <f>AND(#REF!,"AAAAAH//V2U=")</f>
        <v>#REF!</v>
      </c>
      <c r="CY118" s="34" t="e">
        <f>AND(#REF!,"AAAAAH//V2Y=")</f>
        <v>#REF!</v>
      </c>
      <c r="CZ118" s="34" t="e">
        <f>AND(#REF!,"AAAAAH//V2c=")</f>
        <v>#REF!</v>
      </c>
      <c r="DA118" s="34" t="e">
        <f>AND(#REF!,"AAAAAH//V2g=")</f>
        <v>#REF!</v>
      </c>
      <c r="DB118" s="34" t="e">
        <f>AND(#REF!,"AAAAAH//V2k=")</f>
        <v>#REF!</v>
      </c>
      <c r="DC118" s="34" t="e">
        <f>AND(#REF!,"AAAAAH//V2o=")</f>
        <v>#REF!</v>
      </c>
      <c r="DD118" s="34" t="e">
        <f>AND(#REF!,"AAAAAH//V2s=")</f>
        <v>#REF!</v>
      </c>
      <c r="DE118" s="34" t="e">
        <f>IF(#REF!,"AAAAAH//V2w=",0)</f>
        <v>#REF!</v>
      </c>
      <c r="DF118" s="34" t="e">
        <f>AND(#REF!,"AAAAAH//V20=")</f>
        <v>#REF!</v>
      </c>
      <c r="DG118" s="34" t="e">
        <f>AND(#REF!,"AAAAAH//V24=")</f>
        <v>#REF!</v>
      </c>
      <c r="DH118" s="34" t="e">
        <f>AND(#REF!,"AAAAAH//V28=")</f>
        <v>#REF!</v>
      </c>
      <c r="DI118" s="34" t="e">
        <f>AND(#REF!,"AAAAAH//V3A=")</f>
        <v>#REF!</v>
      </c>
      <c r="DJ118" s="34" t="e">
        <f>AND(#REF!,"AAAAAH//V3E=")</f>
        <v>#REF!</v>
      </c>
      <c r="DK118" s="34" t="e">
        <f>AND(#REF!,"AAAAAH//V3I=")</f>
        <v>#REF!</v>
      </c>
      <c r="DL118" s="34" t="e">
        <f>AND(#REF!,"AAAAAH//V3M=")</f>
        <v>#REF!</v>
      </c>
      <c r="DM118" s="34" t="e">
        <f>AND(#REF!,"AAAAAH//V3Q=")</f>
        <v>#REF!</v>
      </c>
      <c r="DN118" s="34" t="e">
        <f>AND(#REF!,"AAAAAH//V3U=")</f>
        <v>#REF!</v>
      </c>
      <c r="DO118" s="34" t="e">
        <f>AND(#REF!,"AAAAAH//V3Y=")</f>
        <v>#REF!</v>
      </c>
      <c r="DP118" s="34" t="e">
        <f>AND(#REF!,"AAAAAH//V3c=")</f>
        <v>#REF!</v>
      </c>
      <c r="DQ118" s="34" t="e">
        <f>AND(#REF!,"AAAAAH//V3g=")</f>
        <v>#REF!</v>
      </c>
      <c r="DR118" s="34" t="e">
        <f>AND(#REF!,"AAAAAH//V3k=")</f>
        <v>#REF!</v>
      </c>
      <c r="DS118" s="34" t="e">
        <f>AND(#REF!,"AAAAAH//V3o=")</f>
        <v>#REF!</v>
      </c>
      <c r="DT118" s="34" t="e">
        <f>AND(#REF!,"AAAAAH//V3s=")</f>
        <v>#REF!</v>
      </c>
      <c r="DU118" s="34" t="e">
        <f>AND(#REF!,"AAAAAH//V3w=")</f>
        <v>#REF!</v>
      </c>
      <c r="DV118" s="34" t="e">
        <f>IF(#REF!,"AAAAAH//V30=",0)</f>
        <v>#REF!</v>
      </c>
      <c r="DW118" s="34" t="e">
        <f>AND(#REF!,"AAAAAH//V34=")</f>
        <v>#REF!</v>
      </c>
      <c r="DX118" s="34" t="e">
        <f>AND(#REF!,"AAAAAH//V38=")</f>
        <v>#REF!</v>
      </c>
      <c r="DY118" s="34" t="e">
        <f>AND(#REF!,"AAAAAH//V4A=")</f>
        <v>#REF!</v>
      </c>
      <c r="DZ118" s="34" t="e">
        <f>AND(#REF!,"AAAAAH//V4E=")</f>
        <v>#REF!</v>
      </c>
      <c r="EA118" s="34" t="e">
        <f>AND(#REF!,"AAAAAH//V4I=")</f>
        <v>#REF!</v>
      </c>
      <c r="EB118" s="34" t="e">
        <f>AND(#REF!,"AAAAAH//V4M=")</f>
        <v>#REF!</v>
      </c>
      <c r="EC118" s="34" t="e">
        <f>AND(#REF!,"AAAAAH//V4Q=")</f>
        <v>#REF!</v>
      </c>
      <c r="ED118" s="34" t="e">
        <f>AND(#REF!,"AAAAAH//V4U=")</f>
        <v>#REF!</v>
      </c>
      <c r="EE118" s="34" t="e">
        <f>AND(#REF!,"AAAAAH//V4Y=")</f>
        <v>#REF!</v>
      </c>
      <c r="EF118" s="34" t="e">
        <f>AND(#REF!,"AAAAAH//V4c=")</f>
        <v>#REF!</v>
      </c>
      <c r="EG118" s="34" t="e">
        <f>AND(#REF!,"AAAAAH//V4g=")</f>
        <v>#REF!</v>
      </c>
      <c r="EH118" s="34" t="e">
        <f>AND(#REF!,"AAAAAH//V4k=")</f>
        <v>#REF!</v>
      </c>
      <c r="EI118" s="34" t="e">
        <f>AND(#REF!,"AAAAAH//V4o=")</f>
        <v>#REF!</v>
      </c>
      <c r="EJ118" s="34" t="e">
        <f>AND(#REF!,"AAAAAH//V4s=")</f>
        <v>#REF!</v>
      </c>
      <c r="EK118" s="34" t="e">
        <f>AND(#REF!,"AAAAAH//V4w=")</f>
        <v>#REF!</v>
      </c>
      <c r="EL118" s="34" t="e">
        <f>AND(#REF!,"AAAAAH//V40=")</f>
        <v>#REF!</v>
      </c>
      <c r="EM118" s="34" t="e">
        <f>IF(#REF!,"AAAAAH//V44=",0)</f>
        <v>#REF!</v>
      </c>
      <c r="EN118" s="34" t="e">
        <f>AND(#REF!,"AAAAAH//V48=")</f>
        <v>#REF!</v>
      </c>
      <c r="EO118" s="34" t="e">
        <f>AND(#REF!,"AAAAAH//V5A=")</f>
        <v>#REF!</v>
      </c>
      <c r="EP118" s="34" t="e">
        <f>AND(#REF!,"AAAAAH//V5E=")</f>
        <v>#REF!</v>
      </c>
      <c r="EQ118" s="34" t="e">
        <f>AND(#REF!,"AAAAAH//V5I=")</f>
        <v>#REF!</v>
      </c>
      <c r="ER118" s="34" t="e">
        <f>AND(#REF!,"AAAAAH//V5M=")</f>
        <v>#REF!</v>
      </c>
      <c r="ES118" s="34" t="e">
        <f>AND(#REF!,"AAAAAH//V5Q=")</f>
        <v>#REF!</v>
      </c>
      <c r="ET118" s="34" t="e">
        <f>AND(#REF!,"AAAAAH//V5U=")</f>
        <v>#REF!</v>
      </c>
      <c r="EU118" s="34" t="e">
        <f>AND(#REF!,"AAAAAH//V5Y=")</f>
        <v>#REF!</v>
      </c>
      <c r="EV118" s="34" t="e">
        <f>AND(#REF!,"AAAAAH//V5c=")</f>
        <v>#REF!</v>
      </c>
      <c r="EW118" s="34" t="e">
        <f>AND(#REF!,"AAAAAH//V5g=")</f>
        <v>#REF!</v>
      </c>
      <c r="EX118" s="34" t="e">
        <f>AND(#REF!,"AAAAAH//V5k=")</f>
        <v>#REF!</v>
      </c>
      <c r="EY118" s="34" t="e">
        <f>AND(#REF!,"AAAAAH//V5o=")</f>
        <v>#REF!</v>
      </c>
      <c r="EZ118" s="34" t="e">
        <f>AND(#REF!,"AAAAAH//V5s=")</f>
        <v>#REF!</v>
      </c>
      <c r="FA118" s="34" t="e">
        <f>AND(#REF!,"AAAAAH//V5w=")</f>
        <v>#REF!</v>
      </c>
      <c r="FB118" s="34" t="e">
        <f>AND(#REF!,"AAAAAH//V50=")</f>
        <v>#REF!</v>
      </c>
      <c r="FC118" s="34" t="e">
        <f>AND(#REF!,"AAAAAH//V54=")</f>
        <v>#REF!</v>
      </c>
      <c r="FD118" s="34" t="e">
        <f>IF(#REF!,"AAAAAH//V58=",0)</f>
        <v>#REF!</v>
      </c>
      <c r="FE118" s="34" t="e">
        <f>AND(#REF!,"AAAAAH//V6A=")</f>
        <v>#REF!</v>
      </c>
      <c r="FF118" s="34" t="e">
        <f>AND(#REF!,"AAAAAH//V6E=")</f>
        <v>#REF!</v>
      </c>
      <c r="FG118" s="34" t="e">
        <f>AND(#REF!,"AAAAAH//V6I=")</f>
        <v>#REF!</v>
      </c>
      <c r="FH118" s="34" t="e">
        <f>AND(#REF!,"AAAAAH//V6M=")</f>
        <v>#REF!</v>
      </c>
      <c r="FI118" s="34" t="e">
        <f>AND(#REF!,"AAAAAH//V6Q=")</f>
        <v>#REF!</v>
      </c>
      <c r="FJ118" s="34" t="e">
        <f>AND(#REF!,"AAAAAH//V6U=")</f>
        <v>#REF!</v>
      </c>
      <c r="FK118" s="34" t="e">
        <f>AND(#REF!,"AAAAAH//V6Y=")</f>
        <v>#REF!</v>
      </c>
      <c r="FL118" s="34" t="e">
        <f>AND(#REF!,"AAAAAH//V6c=")</f>
        <v>#REF!</v>
      </c>
      <c r="FM118" s="34" t="e">
        <f>AND(#REF!,"AAAAAH//V6g=")</f>
        <v>#REF!</v>
      </c>
      <c r="FN118" s="34" t="e">
        <f>AND(#REF!,"AAAAAH//V6k=")</f>
        <v>#REF!</v>
      </c>
      <c r="FO118" s="34" t="e">
        <f>AND(#REF!,"AAAAAH//V6o=")</f>
        <v>#REF!</v>
      </c>
      <c r="FP118" s="34" t="e">
        <f>AND(#REF!,"AAAAAH//V6s=")</f>
        <v>#REF!</v>
      </c>
      <c r="FQ118" s="34" t="e">
        <f>AND(#REF!,"AAAAAH//V6w=")</f>
        <v>#REF!</v>
      </c>
      <c r="FR118" s="34" t="e">
        <f>AND(#REF!,"AAAAAH//V60=")</f>
        <v>#REF!</v>
      </c>
      <c r="FS118" s="34" t="e">
        <f>AND(#REF!,"AAAAAH//V64=")</f>
        <v>#REF!</v>
      </c>
      <c r="FT118" s="34" t="e">
        <f>AND(#REF!,"AAAAAH//V68=")</f>
        <v>#REF!</v>
      </c>
      <c r="FU118" s="34" t="e">
        <f>IF(#REF!,"AAAAAH//V7A=",0)</f>
        <v>#REF!</v>
      </c>
      <c r="FV118" s="34" t="e">
        <f>AND(#REF!,"AAAAAH//V7E=")</f>
        <v>#REF!</v>
      </c>
      <c r="FW118" s="34" t="e">
        <f>AND(#REF!,"AAAAAH//V7I=")</f>
        <v>#REF!</v>
      </c>
      <c r="FX118" s="34" t="e">
        <f>AND(#REF!,"AAAAAH//V7M=")</f>
        <v>#REF!</v>
      </c>
      <c r="FY118" s="34" t="e">
        <f>AND(#REF!,"AAAAAH//V7Q=")</f>
        <v>#REF!</v>
      </c>
      <c r="FZ118" s="34" t="e">
        <f>AND(#REF!,"AAAAAH//V7U=")</f>
        <v>#REF!</v>
      </c>
      <c r="GA118" s="34" t="e">
        <f>AND(#REF!,"AAAAAH//V7Y=")</f>
        <v>#REF!</v>
      </c>
      <c r="GB118" s="34" t="e">
        <f>AND(#REF!,"AAAAAH//V7c=")</f>
        <v>#REF!</v>
      </c>
      <c r="GC118" s="34" t="e">
        <f>AND(#REF!,"AAAAAH//V7g=")</f>
        <v>#REF!</v>
      </c>
      <c r="GD118" s="34" t="e">
        <f>AND(#REF!,"AAAAAH//V7k=")</f>
        <v>#REF!</v>
      </c>
      <c r="GE118" s="34" t="e">
        <f>AND(#REF!,"AAAAAH//V7o=")</f>
        <v>#REF!</v>
      </c>
      <c r="GF118" s="34" t="e">
        <f>AND(#REF!,"AAAAAH//V7s=")</f>
        <v>#REF!</v>
      </c>
      <c r="GG118" s="34" t="e">
        <f>AND(#REF!,"AAAAAH//V7w=")</f>
        <v>#REF!</v>
      </c>
      <c r="GH118" s="34" t="e">
        <f>AND(#REF!,"AAAAAH//V70=")</f>
        <v>#REF!</v>
      </c>
      <c r="GI118" s="34" t="e">
        <f>AND(#REF!,"AAAAAH//V74=")</f>
        <v>#REF!</v>
      </c>
      <c r="GJ118" s="34" t="e">
        <f>AND(#REF!,"AAAAAH//V78=")</f>
        <v>#REF!</v>
      </c>
      <c r="GK118" s="34" t="e">
        <f>AND(#REF!,"AAAAAH//V8A=")</f>
        <v>#REF!</v>
      </c>
      <c r="GL118" s="34" t="e">
        <f>IF(#REF!,"AAAAAH//V8E=",0)</f>
        <v>#REF!</v>
      </c>
      <c r="GM118" s="34" t="e">
        <f>AND(#REF!,"AAAAAH//V8I=")</f>
        <v>#REF!</v>
      </c>
      <c r="GN118" s="34" t="e">
        <f>AND(#REF!,"AAAAAH//V8M=")</f>
        <v>#REF!</v>
      </c>
      <c r="GO118" s="34" t="e">
        <f>AND(#REF!,"AAAAAH//V8Q=")</f>
        <v>#REF!</v>
      </c>
      <c r="GP118" s="34" t="e">
        <f>AND(#REF!,"AAAAAH//V8U=")</f>
        <v>#REF!</v>
      </c>
      <c r="GQ118" s="34" t="e">
        <f>AND(#REF!,"AAAAAH//V8Y=")</f>
        <v>#REF!</v>
      </c>
      <c r="GR118" s="34" t="e">
        <f>AND(#REF!,"AAAAAH//V8c=")</f>
        <v>#REF!</v>
      </c>
      <c r="GS118" s="34" t="e">
        <f>AND(#REF!,"AAAAAH//V8g=")</f>
        <v>#REF!</v>
      </c>
      <c r="GT118" s="34" t="e">
        <f>AND(#REF!,"AAAAAH//V8k=")</f>
        <v>#REF!</v>
      </c>
      <c r="GU118" s="34" t="e">
        <f>AND(#REF!,"AAAAAH//V8o=")</f>
        <v>#REF!</v>
      </c>
      <c r="GV118" s="34" t="e">
        <f>AND(#REF!,"AAAAAH//V8s=")</f>
        <v>#REF!</v>
      </c>
      <c r="GW118" s="34" t="e">
        <f>AND(#REF!,"AAAAAH//V8w=")</f>
        <v>#REF!</v>
      </c>
      <c r="GX118" s="34" t="e">
        <f>AND(#REF!,"AAAAAH//V80=")</f>
        <v>#REF!</v>
      </c>
      <c r="GY118" s="34" t="e">
        <f>AND(#REF!,"AAAAAH//V84=")</f>
        <v>#REF!</v>
      </c>
      <c r="GZ118" s="34" t="e">
        <f>AND(#REF!,"AAAAAH//V88=")</f>
        <v>#REF!</v>
      </c>
      <c r="HA118" s="34" t="e">
        <f>AND(#REF!,"AAAAAH//V9A=")</f>
        <v>#REF!</v>
      </c>
      <c r="HB118" s="34" t="e">
        <f>AND(#REF!,"AAAAAH//V9E=")</f>
        <v>#REF!</v>
      </c>
      <c r="HC118" s="34" t="e">
        <f>IF(#REF!,"AAAAAH//V9I=",0)</f>
        <v>#REF!</v>
      </c>
      <c r="HD118" s="34" t="e">
        <f>AND(#REF!,"AAAAAH//V9M=")</f>
        <v>#REF!</v>
      </c>
      <c r="HE118" s="34" t="e">
        <f>AND(#REF!,"AAAAAH//V9Q=")</f>
        <v>#REF!</v>
      </c>
      <c r="HF118" s="34" t="e">
        <f>AND(#REF!,"AAAAAH//V9U=")</f>
        <v>#REF!</v>
      </c>
      <c r="HG118" s="34" t="e">
        <f>AND(#REF!,"AAAAAH//V9Y=")</f>
        <v>#REF!</v>
      </c>
      <c r="HH118" s="34" t="e">
        <f>AND(#REF!,"AAAAAH//V9c=")</f>
        <v>#REF!</v>
      </c>
      <c r="HI118" s="34" t="e">
        <f>AND(#REF!,"AAAAAH//V9g=")</f>
        <v>#REF!</v>
      </c>
      <c r="HJ118" s="34" t="e">
        <f>AND(#REF!,"AAAAAH//V9k=")</f>
        <v>#REF!</v>
      </c>
      <c r="HK118" s="34" t="e">
        <f>AND(#REF!,"AAAAAH//V9o=")</f>
        <v>#REF!</v>
      </c>
      <c r="HL118" s="34" t="e">
        <f>AND(#REF!,"AAAAAH//V9s=")</f>
        <v>#REF!</v>
      </c>
      <c r="HM118" s="34" t="e">
        <f>AND(#REF!,"AAAAAH//V9w=")</f>
        <v>#REF!</v>
      </c>
      <c r="HN118" s="34" t="e">
        <f>AND(#REF!,"AAAAAH//V90=")</f>
        <v>#REF!</v>
      </c>
      <c r="HO118" s="34" t="e">
        <f>AND(#REF!,"AAAAAH//V94=")</f>
        <v>#REF!</v>
      </c>
      <c r="HP118" s="34" t="e">
        <f>AND(#REF!,"AAAAAH//V98=")</f>
        <v>#REF!</v>
      </c>
      <c r="HQ118" s="34" t="e">
        <f>AND(#REF!,"AAAAAH//V+A=")</f>
        <v>#REF!</v>
      </c>
      <c r="HR118" s="34" t="e">
        <f>AND(#REF!,"AAAAAH//V+E=")</f>
        <v>#REF!</v>
      </c>
      <c r="HS118" s="34" t="e">
        <f>AND(#REF!,"AAAAAH//V+I=")</f>
        <v>#REF!</v>
      </c>
      <c r="HT118" s="34" t="e">
        <f>IF(#REF!,"AAAAAH//V+M=",0)</f>
        <v>#REF!</v>
      </c>
      <c r="HU118" s="34" t="e">
        <f>AND(#REF!,"AAAAAH//V+Q=")</f>
        <v>#REF!</v>
      </c>
      <c r="HV118" s="34" t="e">
        <f>AND(#REF!,"AAAAAH//V+U=")</f>
        <v>#REF!</v>
      </c>
      <c r="HW118" s="34" t="e">
        <f>AND(#REF!,"AAAAAH//V+Y=")</f>
        <v>#REF!</v>
      </c>
      <c r="HX118" s="34" t="e">
        <f>AND(#REF!,"AAAAAH//V+c=")</f>
        <v>#REF!</v>
      </c>
      <c r="HY118" s="34" t="e">
        <f>AND(#REF!,"AAAAAH//V+g=")</f>
        <v>#REF!</v>
      </c>
      <c r="HZ118" s="34" t="e">
        <f>AND(#REF!,"AAAAAH//V+k=")</f>
        <v>#REF!</v>
      </c>
      <c r="IA118" s="34" t="e">
        <f>AND(#REF!,"AAAAAH//V+o=")</f>
        <v>#REF!</v>
      </c>
      <c r="IB118" s="34" t="e">
        <f>AND(#REF!,"AAAAAH//V+s=")</f>
        <v>#REF!</v>
      </c>
      <c r="IC118" s="34" t="e">
        <f>AND(#REF!,"AAAAAH//V+w=")</f>
        <v>#REF!</v>
      </c>
      <c r="ID118" s="34" t="e">
        <f>AND(#REF!,"AAAAAH//V+0=")</f>
        <v>#REF!</v>
      </c>
      <c r="IE118" s="34" t="e">
        <f>AND(#REF!,"AAAAAH//V+4=")</f>
        <v>#REF!</v>
      </c>
      <c r="IF118" s="34" t="e">
        <f>AND(#REF!,"AAAAAH//V+8=")</f>
        <v>#REF!</v>
      </c>
      <c r="IG118" s="34" t="e">
        <f>AND(#REF!,"AAAAAH//V/A=")</f>
        <v>#REF!</v>
      </c>
      <c r="IH118" s="34" t="e">
        <f>AND(#REF!,"AAAAAH//V/E=")</f>
        <v>#REF!</v>
      </c>
      <c r="II118" s="34" t="e">
        <f>AND(#REF!,"AAAAAH//V/I=")</f>
        <v>#REF!</v>
      </c>
      <c r="IJ118" s="34" t="e">
        <f>AND(#REF!,"AAAAAH//V/M=")</f>
        <v>#REF!</v>
      </c>
      <c r="IK118" s="34" t="e">
        <f>IF(#REF!,"AAAAAH//V/Q=",0)</f>
        <v>#REF!</v>
      </c>
      <c r="IL118" s="34" t="e">
        <f>AND(#REF!,"AAAAAH//V/U=")</f>
        <v>#REF!</v>
      </c>
      <c r="IM118" s="34" t="e">
        <f>AND(#REF!,"AAAAAH//V/Y=")</f>
        <v>#REF!</v>
      </c>
      <c r="IN118" s="34" t="e">
        <f>AND(#REF!,"AAAAAH//V/c=")</f>
        <v>#REF!</v>
      </c>
      <c r="IO118" s="34" t="e">
        <f>AND(#REF!,"AAAAAH//V/g=")</f>
        <v>#REF!</v>
      </c>
      <c r="IP118" s="34" t="e">
        <f>AND(#REF!,"AAAAAH//V/k=")</f>
        <v>#REF!</v>
      </c>
      <c r="IQ118" s="34" t="e">
        <f>AND(#REF!,"AAAAAH//V/o=")</f>
        <v>#REF!</v>
      </c>
      <c r="IR118" s="34" t="e">
        <f>AND(#REF!,"AAAAAH//V/s=")</f>
        <v>#REF!</v>
      </c>
      <c r="IS118" s="34" t="e">
        <f>AND(#REF!,"AAAAAH//V/w=")</f>
        <v>#REF!</v>
      </c>
      <c r="IT118" s="34" t="e">
        <f>AND(#REF!,"AAAAAH//V/0=")</f>
        <v>#REF!</v>
      </c>
      <c r="IU118" s="34" t="e">
        <f>AND(#REF!,"AAAAAH//V/4=")</f>
        <v>#REF!</v>
      </c>
      <c r="IV118" s="34" t="e">
        <f>AND(#REF!,"AAAAAH//V/8=")</f>
        <v>#REF!</v>
      </c>
    </row>
    <row r="119" spans="1:256" ht="12.75" customHeight="1" x14ac:dyDescent="0.2">
      <c r="A119" s="34" t="e">
        <f>AND(#REF!,"AAAAAHsd/gA=")</f>
        <v>#REF!</v>
      </c>
      <c r="B119" s="34" t="e">
        <f>AND(#REF!,"AAAAAHsd/gE=")</f>
        <v>#REF!</v>
      </c>
      <c r="C119" s="34" t="e">
        <f>AND(#REF!,"AAAAAHsd/gI=")</f>
        <v>#REF!</v>
      </c>
      <c r="D119" s="34" t="e">
        <f>AND(#REF!,"AAAAAHsd/gM=")</f>
        <v>#REF!</v>
      </c>
      <c r="E119" s="34" t="e">
        <f>AND(#REF!,"AAAAAHsd/gQ=")</f>
        <v>#REF!</v>
      </c>
      <c r="F119" s="34" t="e">
        <f>IF(#REF!,"AAAAAHsd/gU=",0)</f>
        <v>#REF!</v>
      </c>
      <c r="G119" s="34" t="e">
        <f>AND(#REF!,"AAAAAHsd/gY=")</f>
        <v>#REF!</v>
      </c>
      <c r="H119" s="34" t="e">
        <f>AND(#REF!,"AAAAAHsd/gc=")</f>
        <v>#REF!</v>
      </c>
      <c r="I119" s="34" t="e">
        <f>AND(#REF!,"AAAAAHsd/gg=")</f>
        <v>#REF!</v>
      </c>
      <c r="J119" s="34" t="e">
        <f>AND(#REF!,"AAAAAHsd/gk=")</f>
        <v>#REF!</v>
      </c>
      <c r="K119" s="34" t="e">
        <f>AND(#REF!,"AAAAAHsd/go=")</f>
        <v>#REF!</v>
      </c>
      <c r="L119" s="34" t="e">
        <f>AND(#REF!,"AAAAAHsd/gs=")</f>
        <v>#REF!</v>
      </c>
      <c r="M119" s="34" t="e">
        <f>AND(#REF!,"AAAAAHsd/gw=")</f>
        <v>#REF!</v>
      </c>
      <c r="N119" s="34" t="e">
        <f>AND(#REF!,"AAAAAHsd/g0=")</f>
        <v>#REF!</v>
      </c>
      <c r="O119" s="34" t="e">
        <f>AND(#REF!,"AAAAAHsd/g4=")</f>
        <v>#REF!</v>
      </c>
      <c r="P119" s="34" t="e">
        <f>AND(#REF!,"AAAAAHsd/g8=")</f>
        <v>#REF!</v>
      </c>
      <c r="Q119" s="34" t="e">
        <f>AND(#REF!,"AAAAAHsd/hA=")</f>
        <v>#REF!</v>
      </c>
      <c r="R119" s="34" t="e">
        <f>AND(#REF!,"AAAAAHsd/hE=")</f>
        <v>#REF!</v>
      </c>
      <c r="S119" s="34" t="e">
        <f>AND(#REF!,"AAAAAHsd/hI=")</f>
        <v>#REF!</v>
      </c>
      <c r="T119" s="34" t="e">
        <f>AND(#REF!,"AAAAAHsd/hM=")</f>
        <v>#REF!</v>
      </c>
      <c r="U119" s="34" t="e">
        <f>AND(#REF!,"AAAAAHsd/hQ=")</f>
        <v>#REF!</v>
      </c>
      <c r="V119" s="34" t="e">
        <f>AND(#REF!,"AAAAAHsd/hU=")</f>
        <v>#REF!</v>
      </c>
      <c r="W119" s="34" t="e">
        <f>IF(#REF!,"AAAAAHsd/hY=",0)</f>
        <v>#REF!</v>
      </c>
      <c r="X119" s="34" t="e">
        <f>AND(#REF!,"AAAAAHsd/hc=")</f>
        <v>#REF!</v>
      </c>
      <c r="Y119" s="34" t="e">
        <f>AND(#REF!,"AAAAAHsd/hg=")</f>
        <v>#REF!</v>
      </c>
      <c r="Z119" s="34" t="e">
        <f>AND(#REF!,"AAAAAHsd/hk=")</f>
        <v>#REF!</v>
      </c>
      <c r="AA119" s="34" t="e">
        <f>AND(#REF!,"AAAAAHsd/ho=")</f>
        <v>#REF!</v>
      </c>
      <c r="AB119" s="34" t="e">
        <f>AND(#REF!,"AAAAAHsd/hs=")</f>
        <v>#REF!</v>
      </c>
      <c r="AC119" s="34" t="e">
        <f>AND(#REF!,"AAAAAHsd/hw=")</f>
        <v>#REF!</v>
      </c>
      <c r="AD119" s="34" t="e">
        <f>AND(#REF!,"AAAAAHsd/h0=")</f>
        <v>#REF!</v>
      </c>
      <c r="AE119" s="34" t="e">
        <f>AND(#REF!,"AAAAAHsd/h4=")</f>
        <v>#REF!</v>
      </c>
      <c r="AF119" s="34" t="e">
        <f>AND(#REF!,"AAAAAHsd/h8=")</f>
        <v>#REF!</v>
      </c>
      <c r="AG119" s="34" t="e">
        <f>AND(#REF!,"AAAAAHsd/iA=")</f>
        <v>#REF!</v>
      </c>
      <c r="AH119" s="34" t="e">
        <f>AND(#REF!,"AAAAAHsd/iE=")</f>
        <v>#REF!</v>
      </c>
      <c r="AI119" s="34" t="e">
        <f>AND(#REF!,"AAAAAHsd/iI=")</f>
        <v>#REF!</v>
      </c>
      <c r="AJ119" s="34" t="e">
        <f>AND(#REF!,"AAAAAHsd/iM=")</f>
        <v>#REF!</v>
      </c>
      <c r="AK119" s="34" t="e">
        <f>AND(#REF!,"AAAAAHsd/iQ=")</f>
        <v>#REF!</v>
      </c>
      <c r="AL119" s="34" t="e">
        <f>AND(#REF!,"AAAAAHsd/iU=")</f>
        <v>#REF!</v>
      </c>
      <c r="AM119" s="34" t="e">
        <f>AND(#REF!,"AAAAAHsd/iY=")</f>
        <v>#REF!</v>
      </c>
      <c r="AN119" s="34" t="e">
        <f>IF(#REF!,"AAAAAHsd/ic=",0)</f>
        <v>#REF!</v>
      </c>
      <c r="AO119" s="34" t="e">
        <f>AND(#REF!,"AAAAAHsd/ig=")</f>
        <v>#REF!</v>
      </c>
      <c r="AP119" s="34" t="e">
        <f>AND(#REF!,"AAAAAHsd/ik=")</f>
        <v>#REF!</v>
      </c>
      <c r="AQ119" s="34" t="e">
        <f>AND(#REF!,"AAAAAHsd/io=")</f>
        <v>#REF!</v>
      </c>
      <c r="AR119" s="34" t="e">
        <f>AND(#REF!,"AAAAAHsd/is=")</f>
        <v>#REF!</v>
      </c>
      <c r="AS119" s="34" t="e">
        <f>AND(#REF!,"AAAAAHsd/iw=")</f>
        <v>#REF!</v>
      </c>
      <c r="AT119" s="34" t="e">
        <f>AND(#REF!,"AAAAAHsd/i0=")</f>
        <v>#REF!</v>
      </c>
      <c r="AU119" s="34" t="e">
        <f>AND(#REF!,"AAAAAHsd/i4=")</f>
        <v>#REF!</v>
      </c>
      <c r="AV119" s="34" t="e">
        <f>AND(#REF!,"AAAAAHsd/i8=")</f>
        <v>#REF!</v>
      </c>
      <c r="AW119" s="34" t="e">
        <f>AND(#REF!,"AAAAAHsd/jA=")</f>
        <v>#REF!</v>
      </c>
      <c r="AX119" s="34" t="e">
        <f>AND(#REF!,"AAAAAHsd/jE=")</f>
        <v>#REF!</v>
      </c>
      <c r="AY119" s="34" t="e">
        <f>AND(#REF!,"AAAAAHsd/jI=")</f>
        <v>#REF!</v>
      </c>
      <c r="AZ119" s="34" t="e">
        <f>AND(#REF!,"AAAAAHsd/jM=")</f>
        <v>#REF!</v>
      </c>
      <c r="BA119" s="34" t="e">
        <f>AND(#REF!,"AAAAAHsd/jQ=")</f>
        <v>#REF!</v>
      </c>
      <c r="BB119" s="34" t="e">
        <f>AND(#REF!,"AAAAAHsd/jU=")</f>
        <v>#REF!</v>
      </c>
      <c r="BC119" s="34" t="e">
        <f>AND(#REF!,"AAAAAHsd/jY=")</f>
        <v>#REF!</v>
      </c>
      <c r="BD119" s="34" t="e">
        <f>AND(#REF!,"AAAAAHsd/jc=")</f>
        <v>#REF!</v>
      </c>
      <c r="BE119" s="34" t="e">
        <f>IF(#REF!,"AAAAAHsd/jg=",0)</f>
        <v>#REF!</v>
      </c>
      <c r="BF119" s="34" t="e">
        <f>AND(#REF!,"AAAAAHsd/jk=")</f>
        <v>#REF!</v>
      </c>
      <c r="BG119" s="34" t="e">
        <f>AND(#REF!,"AAAAAHsd/jo=")</f>
        <v>#REF!</v>
      </c>
      <c r="BH119" s="34" t="e">
        <f>AND(#REF!,"AAAAAHsd/js=")</f>
        <v>#REF!</v>
      </c>
      <c r="BI119" s="34" t="e">
        <f>AND(#REF!,"AAAAAHsd/jw=")</f>
        <v>#REF!</v>
      </c>
      <c r="BJ119" s="34" t="e">
        <f>AND(#REF!,"AAAAAHsd/j0=")</f>
        <v>#REF!</v>
      </c>
      <c r="BK119" s="34" t="e">
        <f>AND(#REF!,"AAAAAHsd/j4=")</f>
        <v>#REF!</v>
      </c>
      <c r="BL119" s="34" t="e">
        <f>AND(#REF!,"AAAAAHsd/j8=")</f>
        <v>#REF!</v>
      </c>
      <c r="BM119" s="34" t="e">
        <f>AND(#REF!,"AAAAAHsd/kA=")</f>
        <v>#REF!</v>
      </c>
      <c r="BN119" s="34" t="e">
        <f>AND(#REF!,"AAAAAHsd/kE=")</f>
        <v>#REF!</v>
      </c>
      <c r="BO119" s="34" t="e">
        <f>AND(#REF!,"AAAAAHsd/kI=")</f>
        <v>#REF!</v>
      </c>
      <c r="BP119" s="34" t="e">
        <f>AND(#REF!,"AAAAAHsd/kM=")</f>
        <v>#REF!</v>
      </c>
      <c r="BQ119" s="34" t="e">
        <f>AND(#REF!,"AAAAAHsd/kQ=")</f>
        <v>#REF!</v>
      </c>
      <c r="BR119" s="34" t="e">
        <f>AND(#REF!,"AAAAAHsd/kU=")</f>
        <v>#REF!</v>
      </c>
      <c r="BS119" s="34" t="e">
        <f>AND(#REF!,"AAAAAHsd/kY=")</f>
        <v>#REF!</v>
      </c>
      <c r="BT119" s="34" t="e">
        <f>AND(#REF!,"AAAAAHsd/kc=")</f>
        <v>#REF!</v>
      </c>
      <c r="BU119" s="34" t="e">
        <f>AND(#REF!,"AAAAAHsd/kg=")</f>
        <v>#REF!</v>
      </c>
      <c r="BV119" s="34" t="e">
        <f>IF(#REF!,"AAAAAHsd/kk=",0)</f>
        <v>#REF!</v>
      </c>
      <c r="BW119" s="34" t="e">
        <f>AND(#REF!,"AAAAAHsd/ko=")</f>
        <v>#REF!</v>
      </c>
      <c r="BX119" s="34" t="e">
        <f>AND(#REF!,"AAAAAHsd/ks=")</f>
        <v>#REF!</v>
      </c>
      <c r="BY119" s="34" t="e">
        <f>AND(#REF!,"AAAAAHsd/kw=")</f>
        <v>#REF!</v>
      </c>
      <c r="BZ119" s="34" t="e">
        <f>AND(#REF!,"AAAAAHsd/k0=")</f>
        <v>#REF!</v>
      </c>
      <c r="CA119" s="34" t="e">
        <f>AND(#REF!,"AAAAAHsd/k4=")</f>
        <v>#REF!</v>
      </c>
      <c r="CB119" s="34" t="e">
        <f>AND(#REF!,"AAAAAHsd/k8=")</f>
        <v>#REF!</v>
      </c>
      <c r="CC119" s="34" t="e">
        <f>AND(#REF!,"AAAAAHsd/lA=")</f>
        <v>#REF!</v>
      </c>
      <c r="CD119" s="34" t="e">
        <f>AND(#REF!,"AAAAAHsd/lE=")</f>
        <v>#REF!</v>
      </c>
      <c r="CE119" s="34" t="e">
        <f>AND(#REF!,"AAAAAHsd/lI=")</f>
        <v>#REF!</v>
      </c>
      <c r="CF119" s="34" t="e">
        <f>AND(#REF!,"AAAAAHsd/lM=")</f>
        <v>#REF!</v>
      </c>
      <c r="CG119" s="34" t="e">
        <f>AND(#REF!,"AAAAAHsd/lQ=")</f>
        <v>#REF!</v>
      </c>
      <c r="CH119" s="34" t="e">
        <f>AND(#REF!,"AAAAAHsd/lU=")</f>
        <v>#REF!</v>
      </c>
      <c r="CI119" s="34" t="e">
        <f>AND(#REF!,"AAAAAHsd/lY=")</f>
        <v>#REF!</v>
      </c>
      <c r="CJ119" s="34" t="e">
        <f>AND(#REF!,"AAAAAHsd/lc=")</f>
        <v>#REF!</v>
      </c>
      <c r="CK119" s="34" t="e">
        <f>AND(#REF!,"AAAAAHsd/lg=")</f>
        <v>#REF!</v>
      </c>
      <c r="CL119" s="34" t="e">
        <f>AND(#REF!,"AAAAAHsd/lk=")</f>
        <v>#REF!</v>
      </c>
      <c r="CM119" s="34" t="e">
        <f>IF(#REF!,"AAAAAHsd/lo=",0)</f>
        <v>#REF!</v>
      </c>
      <c r="CN119" s="34" t="e">
        <f>AND(#REF!,"AAAAAHsd/ls=")</f>
        <v>#REF!</v>
      </c>
      <c r="CO119" s="34" t="e">
        <f>AND(#REF!,"AAAAAHsd/lw=")</f>
        <v>#REF!</v>
      </c>
      <c r="CP119" s="34" t="e">
        <f>AND(#REF!,"AAAAAHsd/l0=")</f>
        <v>#REF!</v>
      </c>
      <c r="CQ119" s="34" t="e">
        <f>AND(#REF!,"AAAAAHsd/l4=")</f>
        <v>#REF!</v>
      </c>
      <c r="CR119" s="34" t="e">
        <f>AND(#REF!,"AAAAAHsd/l8=")</f>
        <v>#REF!</v>
      </c>
      <c r="CS119" s="34" t="e">
        <f>AND(#REF!,"AAAAAHsd/mA=")</f>
        <v>#REF!</v>
      </c>
      <c r="CT119" s="34" t="e">
        <f>AND(#REF!,"AAAAAHsd/mE=")</f>
        <v>#REF!</v>
      </c>
      <c r="CU119" s="34" t="e">
        <f>AND(#REF!,"AAAAAHsd/mI=")</f>
        <v>#REF!</v>
      </c>
      <c r="CV119" s="34" t="e">
        <f>AND(#REF!,"AAAAAHsd/mM=")</f>
        <v>#REF!</v>
      </c>
      <c r="CW119" s="34" t="e">
        <f>AND(#REF!,"AAAAAHsd/mQ=")</f>
        <v>#REF!</v>
      </c>
      <c r="CX119" s="34" t="e">
        <f>AND(#REF!,"AAAAAHsd/mU=")</f>
        <v>#REF!</v>
      </c>
      <c r="CY119" s="34" t="e">
        <f>AND(#REF!,"AAAAAHsd/mY=")</f>
        <v>#REF!</v>
      </c>
      <c r="CZ119" s="34" t="e">
        <f>AND(#REF!,"AAAAAHsd/mc=")</f>
        <v>#REF!</v>
      </c>
      <c r="DA119" s="34" t="e">
        <f>AND(#REF!,"AAAAAHsd/mg=")</f>
        <v>#REF!</v>
      </c>
      <c r="DB119" s="34" t="e">
        <f>AND(#REF!,"AAAAAHsd/mk=")</f>
        <v>#REF!</v>
      </c>
      <c r="DC119" s="34" t="e">
        <f>AND(#REF!,"AAAAAHsd/mo=")</f>
        <v>#REF!</v>
      </c>
      <c r="DD119" s="34" t="e">
        <f>IF(#REF!,"AAAAAHsd/ms=",0)</f>
        <v>#REF!</v>
      </c>
      <c r="DE119" s="34" t="e">
        <f>AND(#REF!,"AAAAAHsd/mw=")</f>
        <v>#REF!</v>
      </c>
      <c r="DF119" s="34" t="e">
        <f>AND(#REF!,"AAAAAHsd/m0=")</f>
        <v>#REF!</v>
      </c>
      <c r="DG119" s="34" t="e">
        <f>AND(#REF!,"AAAAAHsd/m4=")</f>
        <v>#REF!</v>
      </c>
      <c r="DH119" s="34" t="e">
        <f>AND(#REF!,"AAAAAHsd/m8=")</f>
        <v>#REF!</v>
      </c>
      <c r="DI119" s="34" t="e">
        <f>AND(#REF!,"AAAAAHsd/nA=")</f>
        <v>#REF!</v>
      </c>
      <c r="DJ119" s="34" t="e">
        <f>AND(#REF!,"AAAAAHsd/nE=")</f>
        <v>#REF!</v>
      </c>
      <c r="DK119" s="34" t="e">
        <f>AND(#REF!,"AAAAAHsd/nI=")</f>
        <v>#REF!</v>
      </c>
      <c r="DL119" s="34" t="e">
        <f>AND(#REF!,"AAAAAHsd/nM=")</f>
        <v>#REF!</v>
      </c>
      <c r="DM119" s="34" t="e">
        <f>AND(#REF!,"AAAAAHsd/nQ=")</f>
        <v>#REF!</v>
      </c>
      <c r="DN119" s="34" t="e">
        <f>AND(#REF!,"AAAAAHsd/nU=")</f>
        <v>#REF!</v>
      </c>
      <c r="DO119" s="34" t="e">
        <f>AND(#REF!,"AAAAAHsd/nY=")</f>
        <v>#REF!</v>
      </c>
      <c r="DP119" s="34" t="e">
        <f>AND(#REF!,"AAAAAHsd/nc=")</f>
        <v>#REF!</v>
      </c>
      <c r="DQ119" s="34" t="e">
        <f>AND(#REF!,"AAAAAHsd/ng=")</f>
        <v>#REF!</v>
      </c>
      <c r="DR119" s="34" t="e">
        <f>AND(#REF!,"AAAAAHsd/nk=")</f>
        <v>#REF!</v>
      </c>
      <c r="DS119" s="34" t="e">
        <f>AND(#REF!,"AAAAAHsd/no=")</f>
        <v>#REF!</v>
      </c>
      <c r="DT119" s="34" t="e">
        <f>AND(#REF!,"AAAAAHsd/ns=")</f>
        <v>#REF!</v>
      </c>
      <c r="DU119" s="34" t="e">
        <f>IF(#REF!,"AAAAAHsd/nw=",0)</f>
        <v>#REF!</v>
      </c>
      <c r="DV119" s="34" t="e">
        <f>AND(#REF!,"AAAAAHsd/n0=")</f>
        <v>#REF!</v>
      </c>
      <c r="DW119" s="34" t="e">
        <f>AND(#REF!,"AAAAAHsd/n4=")</f>
        <v>#REF!</v>
      </c>
      <c r="DX119" s="34" t="e">
        <f>AND(#REF!,"AAAAAHsd/n8=")</f>
        <v>#REF!</v>
      </c>
      <c r="DY119" s="34" t="e">
        <f>AND(#REF!,"AAAAAHsd/oA=")</f>
        <v>#REF!</v>
      </c>
      <c r="DZ119" s="34" t="e">
        <f>AND(#REF!,"AAAAAHsd/oE=")</f>
        <v>#REF!</v>
      </c>
      <c r="EA119" s="34" t="e">
        <f>AND(#REF!,"AAAAAHsd/oI=")</f>
        <v>#REF!</v>
      </c>
      <c r="EB119" s="34" t="e">
        <f>AND(#REF!,"AAAAAHsd/oM=")</f>
        <v>#REF!</v>
      </c>
      <c r="EC119" s="34" t="e">
        <f>AND(#REF!,"AAAAAHsd/oQ=")</f>
        <v>#REF!</v>
      </c>
      <c r="ED119" s="34" t="e">
        <f>AND(#REF!,"AAAAAHsd/oU=")</f>
        <v>#REF!</v>
      </c>
      <c r="EE119" s="34" t="e">
        <f>AND(#REF!,"AAAAAHsd/oY=")</f>
        <v>#REF!</v>
      </c>
      <c r="EF119" s="34" t="e">
        <f>AND(#REF!,"AAAAAHsd/oc=")</f>
        <v>#REF!</v>
      </c>
      <c r="EG119" s="34" t="e">
        <f>AND(#REF!,"AAAAAHsd/og=")</f>
        <v>#REF!</v>
      </c>
      <c r="EH119" s="34" t="e">
        <f>AND(#REF!,"AAAAAHsd/ok=")</f>
        <v>#REF!</v>
      </c>
      <c r="EI119" s="34" t="e">
        <f>AND(#REF!,"AAAAAHsd/oo=")</f>
        <v>#REF!</v>
      </c>
      <c r="EJ119" s="34" t="e">
        <f>AND(#REF!,"AAAAAHsd/os=")</f>
        <v>#REF!</v>
      </c>
      <c r="EK119" s="34" t="e">
        <f>AND(#REF!,"AAAAAHsd/ow=")</f>
        <v>#REF!</v>
      </c>
      <c r="EL119" s="34" t="e">
        <f>IF(#REF!,"AAAAAHsd/o0=",0)</f>
        <v>#REF!</v>
      </c>
      <c r="EM119" s="34" t="e">
        <f>AND(#REF!,"AAAAAHsd/o4=")</f>
        <v>#REF!</v>
      </c>
      <c r="EN119" s="34" t="e">
        <f>AND(#REF!,"AAAAAHsd/o8=")</f>
        <v>#REF!</v>
      </c>
      <c r="EO119" s="34" t="e">
        <f>AND(#REF!,"AAAAAHsd/pA=")</f>
        <v>#REF!</v>
      </c>
      <c r="EP119" s="34" t="e">
        <f>AND(#REF!,"AAAAAHsd/pE=")</f>
        <v>#REF!</v>
      </c>
      <c r="EQ119" s="34" t="e">
        <f>AND(#REF!,"AAAAAHsd/pI=")</f>
        <v>#REF!</v>
      </c>
      <c r="ER119" s="34" t="e">
        <f>AND(#REF!,"AAAAAHsd/pM=")</f>
        <v>#REF!</v>
      </c>
      <c r="ES119" s="34" t="e">
        <f>AND(#REF!,"AAAAAHsd/pQ=")</f>
        <v>#REF!</v>
      </c>
      <c r="ET119" s="34" t="e">
        <f>AND(#REF!,"AAAAAHsd/pU=")</f>
        <v>#REF!</v>
      </c>
      <c r="EU119" s="34" t="e">
        <f>AND(#REF!,"AAAAAHsd/pY=")</f>
        <v>#REF!</v>
      </c>
      <c r="EV119" s="34" t="e">
        <f>AND(#REF!,"AAAAAHsd/pc=")</f>
        <v>#REF!</v>
      </c>
      <c r="EW119" s="34" t="e">
        <f>AND(#REF!,"AAAAAHsd/pg=")</f>
        <v>#REF!</v>
      </c>
      <c r="EX119" s="34" t="e">
        <f>AND(#REF!,"AAAAAHsd/pk=")</f>
        <v>#REF!</v>
      </c>
      <c r="EY119" s="34" t="e">
        <f>AND(#REF!,"AAAAAHsd/po=")</f>
        <v>#REF!</v>
      </c>
      <c r="EZ119" s="34" t="e">
        <f>AND(#REF!,"AAAAAHsd/ps=")</f>
        <v>#REF!</v>
      </c>
      <c r="FA119" s="34" t="e">
        <f>AND(#REF!,"AAAAAHsd/pw=")</f>
        <v>#REF!</v>
      </c>
      <c r="FB119" s="34" t="e">
        <f>AND(#REF!,"AAAAAHsd/p0=")</f>
        <v>#REF!</v>
      </c>
      <c r="FC119" s="34" t="e">
        <f>IF(#REF!,"AAAAAHsd/p4=",0)</f>
        <v>#REF!</v>
      </c>
      <c r="FD119" s="34" t="e">
        <f>AND(#REF!,"AAAAAHsd/p8=")</f>
        <v>#REF!</v>
      </c>
      <c r="FE119" s="34" t="e">
        <f>AND(#REF!,"AAAAAHsd/qA=")</f>
        <v>#REF!</v>
      </c>
      <c r="FF119" s="34" t="e">
        <f>AND(#REF!,"AAAAAHsd/qE=")</f>
        <v>#REF!</v>
      </c>
      <c r="FG119" s="34" t="e">
        <f>AND(#REF!,"AAAAAHsd/qI=")</f>
        <v>#REF!</v>
      </c>
      <c r="FH119" s="34" t="e">
        <f>AND(#REF!,"AAAAAHsd/qM=")</f>
        <v>#REF!</v>
      </c>
      <c r="FI119" s="34" t="e">
        <f>AND(#REF!,"AAAAAHsd/qQ=")</f>
        <v>#REF!</v>
      </c>
      <c r="FJ119" s="34" t="e">
        <f>AND(#REF!,"AAAAAHsd/qU=")</f>
        <v>#REF!</v>
      </c>
      <c r="FK119" s="34" t="e">
        <f>AND(#REF!,"AAAAAHsd/qY=")</f>
        <v>#REF!</v>
      </c>
      <c r="FL119" s="34" t="e">
        <f>AND(#REF!,"AAAAAHsd/qc=")</f>
        <v>#REF!</v>
      </c>
      <c r="FM119" s="34" t="e">
        <f>AND(#REF!,"AAAAAHsd/qg=")</f>
        <v>#REF!</v>
      </c>
      <c r="FN119" s="34" t="e">
        <f>AND(#REF!,"AAAAAHsd/qk=")</f>
        <v>#REF!</v>
      </c>
      <c r="FO119" s="34" t="e">
        <f>AND(#REF!,"AAAAAHsd/qo=")</f>
        <v>#REF!</v>
      </c>
      <c r="FP119" s="34" t="e">
        <f>AND(#REF!,"AAAAAHsd/qs=")</f>
        <v>#REF!</v>
      </c>
      <c r="FQ119" s="34" t="e">
        <f>AND(#REF!,"AAAAAHsd/qw=")</f>
        <v>#REF!</v>
      </c>
      <c r="FR119" s="34" t="e">
        <f>AND(#REF!,"AAAAAHsd/q0=")</f>
        <v>#REF!</v>
      </c>
      <c r="FS119" s="34" t="e">
        <f>AND(#REF!,"AAAAAHsd/q4=")</f>
        <v>#REF!</v>
      </c>
      <c r="FT119" s="34" t="e">
        <f>IF(#REF!,"AAAAAHsd/q8=",0)</f>
        <v>#REF!</v>
      </c>
      <c r="FU119" s="34" t="e">
        <f>AND(#REF!,"AAAAAHsd/rA=")</f>
        <v>#REF!</v>
      </c>
      <c r="FV119" s="34" t="e">
        <f>AND(#REF!,"AAAAAHsd/rE=")</f>
        <v>#REF!</v>
      </c>
      <c r="FW119" s="34" t="e">
        <f>AND(#REF!,"AAAAAHsd/rI=")</f>
        <v>#REF!</v>
      </c>
      <c r="FX119" s="34" t="e">
        <f>AND(#REF!,"AAAAAHsd/rM=")</f>
        <v>#REF!</v>
      </c>
      <c r="FY119" s="34" t="e">
        <f>AND(#REF!,"AAAAAHsd/rQ=")</f>
        <v>#REF!</v>
      </c>
      <c r="FZ119" s="34" t="e">
        <f>AND(#REF!,"AAAAAHsd/rU=")</f>
        <v>#REF!</v>
      </c>
      <c r="GA119" s="34" t="e">
        <f>AND(#REF!,"AAAAAHsd/rY=")</f>
        <v>#REF!</v>
      </c>
      <c r="GB119" s="34" t="e">
        <f>AND(#REF!,"AAAAAHsd/rc=")</f>
        <v>#REF!</v>
      </c>
      <c r="GC119" s="34" t="e">
        <f>AND(#REF!,"AAAAAHsd/rg=")</f>
        <v>#REF!</v>
      </c>
      <c r="GD119" s="34" t="e">
        <f>AND(#REF!,"AAAAAHsd/rk=")</f>
        <v>#REF!</v>
      </c>
      <c r="GE119" s="34" t="e">
        <f>AND(#REF!,"AAAAAHsd/ro=")</f>
        <v>#REF!</v>
      </c>
      <c r="GF119" s="34" t="e">
        <f>AND(#REF!,"AAAAAHsd/rs=")</f>
        <v>#REF!</v>
      </c>
      <c r="GG119" s="34" t="e">
        <f>AND(#REF!,"AAAAAHsd/rw=")</f>
        <v>#REF!</v>
      </c>
      <c r="GH119" s="34" t="e">
        <f>AND(#REF!,"AAAAAHsd/r0=")</f>
        <v>#REF!</v>
      </c>
      <c r="GI119" s="34" t="e">
        <f>AND(#REF!,"AAAAAHsd/r4=")</f>
        <v>#REF!</v>
      </c>
      <c r="GJ119" s="34" t="e">
        <f>AND(#REF!,"AAAAAHsd/r8=")</f>
        <v>#REF!</v>
      </c>
      <c r="GK119" s="34" t="e">
        <f>IF(#REF!,"AAAAAHsd/sA=",0)</f>
        <v>#REF!</v>
      </c>
      <c r="GL119" s="34" t="e">
        <f>AND(#REF!,"AAAAAHsd/sE=")</f>
        <v>#REF!</v>
      </c>
      <c r="GM119" s="34" t="e">
        <f>AND(#REF!,"AAAAAHsd/sI=")</f>
        <v>#REF!</v>
      </c>
      <c r="GN119" s="34" t="e">
        <f>AND(#REF!,"AAAAAHsd/sM=")</f>
        <v>#REF!</v>
      </c>
      <c r="GO119" s="34" t="e">
        <f>AND(#REF!,"AAAAAHsd/sQ=")</f>
        <v>#REF!</v>
      </c>
      <c r="GP119" s="34" t="e">
        <f>AND(#REF!,"AAAAAHsd/sU=")</f>
        <v>#REF!</v>
      </c>
      <c r="GQ119" s="34" t="e">
        <f>AND(#REF!,"AAAAAHsd/sY=")</f>
        <v>#REF!</v>
      </c>
      <c r="GR119" s="34" t="e">
        <f>AND(#REF!,"AAAAAHsd/sc=")</f>
        <v>#REF!</v>
      </c>
      <c r="GS119" s="34" t="e">
        <f>AND(#REF!,"AAAAAHsd/sg=")</f>
        <v>#REF!</v>
      </c>
      <c r="GT119" s="34" t="e">
        <f>AND(#REF!,"AAAAAHsd/sk=")</f>
        <v>#REF!</v>
      </c>
      <c r="GU119" s="34" t="e">
        <f>AND(#REF!,"AAAAAHsd/so=")</f>
        <v>#REF!</v>
      </c>
      <c r="GV119" s="34" t="e">
        <f>AND(#REF!,"AAAAAHsd/ss=")</f>
        <v>#REF!</v>
      </c>
      <c r="GW119" s="34" t="e">
        <f>AND(#REF!,"AAAAAHsd/sw=")</f>
        <v>#REF!</v>
      </c>
      <c r="GX119" s="34" t="e">
        <f>AND(#REF!,"AAAAAHsd/s0=")</f>
        <v>#REF!</v>
      </c>
      <c r="GY119" s="34" t="e">
        <f>AND(#REF!,"AAAAAHsd/s4=")</f>
        <v>#REF!</v>
      </c>
      <c r="GZ119" s="34" t="e">
        <f>AND(#REF!,"AAAAAHsd/s8=")</f>
        <v>#REF!</v>
      </c>
      <c r="HA119" s="34" t="e">
        <f>AND(#REF!,"AAAAAHsd/tA=")</f>
        <v>#REF!</v>
      </c>
      <c r="HB119" s="34" t="e">
        <f>IF(#REF!,"AAAAAHsd/tE=",0)</f>
        <v>#REF!</v>
      </c>
      <c r="HC119" s="34" t="e">
        <f>AND(#REF!,"AAAAAHsd/tI=")</f>
        <v>#REF!</v>
      </c>
      <c r="HD119" s="34" t="e">
        <f>AND(#REF!,"AAAAAHsd/tM=")</f>
        <v>#REF!</v>
      </c>
      <c r="HE119" s="34" t="e">
        <f>AND(#REF!,"AAAAAHsd/tQ=")</f>
        <v>#REF!</v>
      </c>
      <c r="HF119" s="34" t="e">
        <f>AND(#REF!,"AAAAAHsd/tU=")</f>
        <v>#REF!</v>
      </c>
      <c r="HG119" s="34" t="e">
        <f>AND(#REF!,"AAAAAHsd/tY=")</f>
        <v>#REF!</v>
      </c>
      <c r="HH119" s="34" t="e">
        <f>AND(#REF!,"AAAAAHsd/tc=")</f>
        <v>#REF!</v>
      </c>
      <c r="HI119" s="34" t="e">
        <f>AND(#REF!,"AAAAAHsd/tg=")</f>
        <v>#REF!</v>
      </c>
      <c r="HJ119" s="34" t="e">
        <f>AND(#REF!,"AAAAAHsd/tk=")</f>
        <v>#REF!</v>
      </c>
      <c r="HK119" s="34" t="e">
        <f>AND(#REF!,"AAAAAHsd/to=")</f>
        <v>#REF!</v>
      </c>
      <c r="HL119" s="34" t="e">
        <f>AND(#REF!,"AAAAAHsd/ts=")</f>
        <v>#REF!</v>
      </c>
      <c r="HM119" s="34" t="e">
        <f>AND(#REF!,"AAAAAHsd/tw=")</f>
        <v>#REF!</v>
      </c>
      <c r="HN119" s="34" t="e">
        <f>AND(#REF!,"AAAAAHsd/t0=")</f>
        <v>#REF!</v>
      </c>
      <c r="HO119" s="34" t="e">
        <f>AND(#REF!,"AAAAAHsd/t4=")</f>
        <v>#REF!</v>
      </c>
      <c r="HP119" s="34" t="e">
        <f>AND(#REF!,"AAAAAHsd/t8=")</f>
        <v>#REF!</v>
      </c>
      <c r="HQ119" s="34" t="e">
        <f>AND(#REF!,"AAAAAHsd/uA=")</f>
        <v>#REF!</v>
      </c>
      <c r="HR119" s="34" t="e">
        <f>AND(#REF!,"AAAAAHsd/uE=")</f>
        <v>#REF!</v>
      </c>
      <c r="HS119" s="34" t="e">
        <f>IF(#REF!,"AAAAAHsd/uI=",0)</f>
        <v>#REF!</v>
      </c>
      <c r="HT119" s="34" t="e">
        <f>AND(#REF!,"AAAAAHsd/uM=")</f>
        <v>#REF!</v>
      </c>
      <c r="HU119" s="34" t="e">
        <f>AND(#REF!,"AAAAAHsd/uQ=")</f>
        <v>#REF!</v>
      </c>
      <c r="HV119" s="34" t="e">
        <f>AND(#REF!,"AAAAAHsd/uU=")</f>
        <v>#REF!</v>
      </c>
      <c r="HW119" s="34" t="e">
        <f>AND(#REF!,"AAAAAHsd/uY=")</f>
        <v>#REF!</v>
      </c>
      <c r="HX119" s="34" t="e">
        <f>AND(#REF!,"AAAAAHsd/uc=")</f>
        <v>#REF!</v>
      </c>
      <c r="HY119" s="34" t="e">
        <f>AND(#REF!,"AAAAAHsd/ug=")</f>
        <v>#REF!</v>
      </c>
      <c r="HZ119" s="34" t="e">
        <f>AND(#REF!,"AAAAAHsd/uk=")</f>
        <v>#REF!</v>
      </c>
      <c r="IA119" s="34" t="e">
        <f>AND(#REF!,"AAAAAHsd/uo=")</f>
        <v>#REF!</v>
      </c>
      <c r="IB119" s="34" t="e">
        <f>AND(#REF!,"AAAAAHsd/us=")</f>
        <v>#REF!</v>
      </c>
      <c r="IC119" s="34" t="e">
        <f>AND(#REF!,"AAAAAHsd/uw=")</f>
        <v>#REF!</v>
      </c>
      <c r="ID119" s="34" t="e">
        <f>AND(#REF!,"AAAAAHsd/u0=")</f>
        <v>#REF!</v>
      </c>
      <c r="IE119" s="34" t="e">
        <f>AND(#REF!,"AAAAAHsd/u4=")</f>
        <v>#REF!</v>
      </c>
      <c r="IF119" s="34" t="e">
        <f>AND(#REF!,"AAAAAHsd/u8=")</f>
        <v>#REF!</v>
      </c>
      <c r="IG119" s="34" t="e">
        <f>AND(#REF!,"AAAAAHsd/vA=")</f>
        <v>#REF!</v>
      </c>
      <c r="IH119" s="34" t="e">
        <f>AND(#REF!,"AAAAAHsd/vE=")</f>
        <v>#REF!</v>
      </c>
      <c r="II119" s="34" t="e">
        <f>AND(#REF!,"AAAAAHsd/vI=")</f>
        <v>#REF!</v>
      </c>
      <c r="IJ119" s="34" t="e">
        <f>IF(#REF!,"AAAAAHsd/vM=",0)</f>
        <v>#REF!</v>
      </c>
      <c r="IK119" s="34" t="e">
        <f>AND(#REF!,"AAAAAHsd/vQ=")</f>
        <v>#REF!</v>
      </c>
      <c r="IL119" s="34" t="e">
        <f>AND(#REF!,"AAAAAHsd/vU=")</f>
        <v>#REF!</v>
      </c>
      <c r="IM119" s="34" t="e">
        <f>AND(#REF!,"AAAAAHsd/vY=")</f>
        <v>#REF!</v>
      </c>
      <c r="IN119" s="34" t="e">
        <f>AND(#REF!,"AAAAAHsd/vc=")</f>
        <v>#REF!</v>
      </c>
      <c r="IO119" s="34" t="e">
        <f>AND(#REF!,"AAAAAHsd/vg=")</f>
        <v>#REF!</v>
      </c>
      <c r="IP119" s="34" t="e">
        <f>AND(#REF!,"AAAAAHsd/vk=")</f>
        <v>#REF!</v>
      </c>
      <c r="IQ119" s="34" t="e">
        <f>AND(#REF!,"AAAAAHsd/vo=")</f>
        <v>#REF!</v>
      </c>
      <c r="IR119" s="34" t="e">
        <f>AND(#REF!,"AAAAAHsd/vs=")</f>
        <v>#REF!</v>
      </c>
      <c r="IS119" s="34" t="e">
        <f>AND(#REF!,"AAAAAHsd/vw=")</f>
        <v>#REF!</v>
      </c>
      <c r="IT119" s="34" t="e">
        <f>AND(#REF!,"AAAAAHsd/v0=")</f>
        <v>#REF!</v>
      </c>
      <c r="IU119" s="34" t="e">
        <f>AND(#REF!,"AAAAAHsd/v4=")</f>
        <v>#REF!</v>
      </c>
      <c r="IV119" s="34" t="e">
        <f>AND(#REF!,"AAAAAHsd/v8=")</f>
        <v>#REF!</v>
      </c>
    </row>
    <row r="120" spans="1:256" ht="12.75" customHeight="1" x14ac:dyDescent="0.2">
      <c r="A120" s="34" t="e">
        <f>AND(#REF!,"AAAAADe/bgA=")</f>
        <v>#REF!</v>
      </c>
      <c r="B120" s="34" t="e">
        <f>AND(#REF!,"AAAAADe/bgE=")</f>
        <v>#REF!</v>
      </c>
      <c r="C120" s="34" t="e">
        <f>AND(#REF!,"AAAAADe/bgI=")</f>
        <v>#REF!</v>
      </c>
      <c r="D120" s="34" t="e">
        <f>AND(#REF!,"AAAAADe/bgM=")</f>
        <v>#REF!</v>
      </c>
      <c r="E120" s="34" t="e">
        <f>IF(#REF!,"AAAAADe/bgQ=",0)</f>
        <v>#REF!</v>
      </c>
      <c r="F120" s="34" t="e">
        <f>AND(#REF!,"AAAAADe/bgU=")</f>
        <v>#REF!</v>
      </c>
      <c r="G120" s="34" t="e">
        <f>AND(#REF!,"AAAAADe/bgY=")</f>
        <v>#REF!</v>
      </c>
      <c r="H120" s="34" t="e">
        <f>AND(#REF!,"AAAAADe/bgc=")</f>
        <v>#REF!</v>
      </c>
      <c r="I120" s="34" t="e">
        <f>AND(#REF!,"AAAAADe/bgg=")</f>
        <v>#REF!</v>
      </c>
      <c r="J120" s="34" t="e">
        <f>AND(#REF!,"AAAAADe/bgk=")</f>
        <v>#REF!</v>
      </c>
      <c r="K120" s="34" t="e">
        <f>AND(#REF!,"AAAAADe/bgo=")</f>
        <v>#REF!</v>
      </c>
      <c r="L120" s="34" t="e">
        <f>AND(#REF!,"AAAAADe/bgs=")</f>
        <v>#REF!</v>
      </c>
      <c r="M120" s="34" t="e">
        <f>AND(#REF!,"AAAAADe/bgw=")</f>
        <v>#REF!</v>
      </c>
      <c r="N120" s="34" t="e">
        <f>AND(#REF!,"AAAAADe/bg0=")</f>
        <v>#REF!</v>
      </c>
      <c r="O120" s="34" t="e">
        <f>AND(#REF!,"AAAAADe/bg4=")</f>
        <v>#REF!</v>
      </c>
      <c r="P120" s="34" t="e">
        <f>AND(#REF!,"AAAAADe/bg8=")</f>
        <v>#REF!</v>
      </c>
      <c r="Q120" s="34" t="e">
        <f>AND(#REF!,"AAAAADe/bhA=")</f>
        <v>#REF!</v>
      </c>
      <c r="R120" s="34" t="e">
        <f>AND(#REF!,"AAAAADe/bhE=")</f>
        <v>#REF!</v>
      </c>
      <c r="S120" s="34" t="e">
        <f>AND(#REF!,"AAAAADe/bhI=")</f>
        <v>#REF!</v>
      </c>
      <c r="T120" s="34" t="e">
        <f>AND(#REF!,"AAAAADe/bhM=")</f>
        <v>#REF!</v>
      </c>
      <c r="U120" s="34" t="e">
        <f>AND(#REF!,"AAAAADe/bhQ=")</f>
        <v>#REF!</v>
      </c>
      <c r="V120" s="34" t="e">
        <f>IF(#REF!,"AAAAADe/bhU=",0)</f>
        <v>#REF!</v>
      </c>
      <c r="W120" s="34" t="e">
        <f>AND(#REF!,"AAAAADe/bhY=")</f>
        <v>#REF!</v>
      </c>
      <c r="X120" s="34" t="e">
        <f>AND(#REF!,"AAAAADe/bhc=")</f>
        <v>#REF!</v>
      </c>
      <c r="Y120" s="34" t="e">
        <f>AND(#REF!,"AAAAADe/bhg=")</f>
        <v>#REF!</v>
      </c>
      <c r="Z120" s="34" t="e">
        <f>AND(#REF!,"AAAAADe/bhk=")</f>
        <v>#REF!</v>
      </c>
      <c r="AA120" s="34" t="e">
        <f>AND(#REF!,"AAAAADe/bho=")</f>
        <v>#REF!</v>
      </c>
      <c r="AB120" s="34" t="e">
        <f>AND(#REF!,"AAAAADe/bhs=")</f>
        <v>#REF!</v>
      </c>
      <c r="AC120" s="34" t="e">
        <f>AND(#REF!,"AAAAADe/bhw=")</f>
        <v>#REF!</v>
      </c>
      <c r="AD120" s="34" t="e">
        <f>AND(#REF!,"AAAAADe/bh0=")</f>
        <v>#REF!</v>
      </c>
      <c r="AE120" s="34" t="e">
        <f>AND(#REF!,"AAAAADe/bh4=")</f>
        <v>#REF!</v>
      </c>
      <c r="AF120" s="34" t="e">
        <f>AND(#REF!,"AAAAADe/bh8=")</f>
        <v>#REF!</v>
      </c>
      <c r="AG120" s="34" t="e">
        <f>AND(#REF!,"AAAAADe/biA=")</f>
        <v>#REF!</v>
      </c>
      <c r="AH120" s="34" t="e">
        <f>AND(#REF!,"AAAAADe/biE=")</f>
        <v>#REF!</v>
      </c>
      <c r="AI120" s="34" t="e">
        <f>AND(#REF!,"AAAAADe/biI=")</f>
        <v>#REF!</v>
      </c>
      <c r="AJ120" s="34" t="e">
        <f>AND(#REF!,"AAAAADe/biM=")</f>
        <v>#REF!</v>
      </c>
      <c r="AK120" s="34" t="e">
        <f>AND(#REF!,"AAAAADe/biQ=")</f>
        <v>#REF!</v>
      </c>
      <c r="AL120" s="34" t="e">
        <f>AND(#REF!,"AAAAADe/biU=")</f>
        <v>#REF!</v>
      </c>
      <c r="AM120" s="34" t="e">
        <f>IF(#REF!,"AAAAADe/biY=",0)</f>
        <v>#REF!</v>
      </c>
      <c r="AN120" s="34" t="e">
        <f>AND(#REF!,"AAAAADe/bic=")</f>
        <v>#REF!</v>
      </c>
      <c r="AO120" s="34" t="e">
        <f>AND(#REF!,"AAAAADe/big=")</f>
        <v>#REF!</v>
      </c>
      <c r="AP120" s="34" t="e">
        <f>AND(#REF!,"AAAAADe/bik=")</f>
        <v>#REF!</v>
      </c>
      <c r="AQ120" s="34" t="e">
        <f>AND(#REF!,"AAAAADe/bio=")</f>
        <v>#REF!</v>
      </c>
      <c r="AR120" s="34" t="e">
        <f>AND(#REF!,"AAAAADe/bis=")</f>
        <v>#REF!</v>
      </c>
      <c r="AS120" s="34" t="e">
        <f>AND(#REF!,"AAAAADe/biw=")</f>
        <v>#REF!</v>
      </c>
      <c r="AT120" s="34" t="e">
        <f>AND(#REF!,"AAAAADe/bi0=")</f>
        <v>#REF!</v>
      </c>
      <c r="AU120" s="34" t="e">
        <f>AND(#REF!,"AAAAADe/bi4=")</f>
        <v>#REF!</v>
      </c>
      <c r="AV120" s="34" t="e">
        <f>AND(#REF!,"AAAAADe/bi8=")</f>
        <v>#REF!</v>
      </c>
      <c r="AW120" s="34" t="e">
        <f>AND(#REF!,"AAAAADe/bjA=")</f>
        <v>#REF!</v>
      </c>
      <c r="AX120" s="34" t="e">
        <f>AND(#REF!,"AAAAADe/bjE=")</f>
        <v>#REF!</v>
      </c>
      <c r="AY120" s="34" t="e">
        <f>AND(#REF!,"AAAAADe/bjI=")</f>
        <v>#REF!</v>
      </c>
      <c r="AZ120" s="34" t="e">
        <f>AND(#REF!,"AAAAADe/bjM=")</f>
        <v>#REF!</v>
      </c>
      <c r="BA120" s="34" t="e">
        <f>AND(#REF!,"AAAAADe/bjQ=")</f>
        <v>#REF!</v>
      </c>
      <c r="BB120" s="34" t="e">
        <f>AND(#REF!,"AAAAADe/bjU=")</f>
        <v>#REF!</v>
      </c>
      <c r="BC120" s="34" t="e">
        <f>AND(#REF!,"AAAAADe/bjY=")</f>
        <v>#REF!</v>
      </c>
      <c r="BD120" s="34" t="e">
        <f>IF(#REF!,"AAAAADe/bjc=",0)</f>
        <v>#REF!</v>
      </c>
      <c r="BE120" s="34" t="e">
        <f>AND(#REF!,"AAAAADe/bjg=")</f>
        <v>#REF!</v>
      </c>
      <c r="BF120" s="34" t="e">
        <f>AND(#REF!,"AAAAADe/bjk=")</f>
        <v>#REF!</v>
      </c>
      <c r="BG120" s="34" t="e">
        <f>AND(#REF!,"AAAAADe/bjo=")</f>
        <v>#REF!</v>
      </c>
      <c r="BH120" s="34" t="e">
        <f>AND(#REF!,"AAAAADe/bjs=")</f>
        <v>#REF!</v>
      </c>
      <c r="BI120" s="34" t="e">
        <f>AND(#REF!,"AAAAADe/bjw=")</f>
        <v>#REF!</v>
      </c>
      <c r="BJ120" s="34" t="e">
        <f>AND(#REF!,"AAAAADe/bj0=")</f>
        <v>#REF!</v>
      </c>
      <c r="BK120" s="34" t="e">
        <f>AND(#REF!,"AAAAADe/bj4=")</f>
        <v>#REF!</v>
      </c>
      <c r="BL120" s="34" t="e">
        <f>AND(#REF!,"AAAAADe/bj8=")</f>
        <v>#REF!</v>
      </c>
      <c r="BM120" s="34" t="e">
        <f>AND(#REF!,"AAAAADe/bkA=")</f>
        <v>#REF!</v>
      </c>
      <c r="BN120" s="34" t="e">
        <f>AND(#REF!,"AAAAADe/bkE=")</f>
        <v>#REF!</v>
      </c>
      <c r="BO120" s="34" t="e">
        <f>AND(#REF!,"AAAAADe/bkI=")</f>
        <v>#REF!</v>
      </c>
      <c r="BP120" s="34" t="e">
        <f>AND(#REF!,"AAAAADe/bkM=")</f>
        <v>#REF!</v>
      </c>
      <c r="BQ120" s="34" t="e">
        <f>AND(#REF!,"AAAAADe/bkQ=")</f>
        <v>#REF!</v>
      </c>
      <c r="BR120" s="34" t="e">
        <f>AND(#REF!,"AAAAADe/bkU=")</f>
        <v>#REF!</v>
      </c>
      <c r="BS120" s="34" t="e">
        <f>AND(#REF!,"AAAAADe/bkY=")</f>
        <v>#REF!</v>
      </c>
      <c r="BT120" s="34" t="e">
        <f>AND(#REF!,"AAAAADe/bkc=")</f>
        <v>#REF!</v>
      </c>
      <c r="BU120" s="34" t="e">
        <f>IF(#REF!,"AAAAADe/bkg=",0)</f>
        <v>#REF!</v>
      </c>
      <c r="BV120" s="34" t="e">
        <f>AND(#REF!,"AAAAADe/bkk=")</f>
        <v>#REF!</v>
      </c>
      <c r="BW120" s="34" t="e">
        <f>AND(#REF!,"AAAAADe/bko=")</f>
        <v>#REF!</v>
      </c>
      <c r="BX120" s="34" t="e">
        <f>AND(#REF!,"AAAAADe/bks=")</f>
        <v>#REF!</v>
      </c>
      <c r="BY120" s="34" t="e">
        <f>AND(#REF!,"AAAAADe/bkw=")</f>
        <v>#REF!</v>
      </c>
      <c r="BZ120" s="34" t="e">
        <f>AND(#REF!,"AAAAADe/bk0=")</f>
        <v>#REF!</v>
      </c>
      <c r="CA120" s="34" t="e">
        <f>AND(#REF!,"AAAAADe/bk4=")</f>
        <v>#REF!</v>
      </c>
      <c r="CB120" s="34" t="e">
        <f>AND(#REF!,"AAAAADe/bk8=")</f>
        <v>#REF!</v>
      </c>
      <c r="CC120" s="34" t="e">
        <f>AND(#REF!,"AAAAADe/blA=")</f>
        <v>#REF!</v>
      </c>
      <c r="CD120" s="34" t="e">
        <f>AND(#REF!,"AAAAADe/blE=")</f>
        <v>#REF!</v>
      </c>
      <c r="CE120" s="34" t="e">
        <f>AND(#REF!,"AAAAADe/blI=")</f>
        <v>#REF!</v>
      </c>
      <c r="CF120" s="34" t="e">
        <f>AND(#REF!,"AAAAADe/blM=")</f>
        <v>#REF!</v>
      </c>
      <c r="CG120" s="34" t="e">
        <f>AND(#REF!,"AAAAADe/blQ=")</f>
        <v>#REF!</v>
      </c>
      <c r="CH120" s="34" t="e">
        <f>AND(#REF!,"AAAAADe/blU=")</f>
        <v>#REF!</v>
      </c>
      <c r="CI120" s="34" t="e">
        <f>AND(#REF!,"AAAAADe/blY=")</f>
        <v>#REF!</v>
      </c>
      <c r="CJ120" s="34" t="e">
        <f>AND(#REF!,"AAAAADe/blc=")</f>
        <v>#REF!</v>
      </c>
      <c r="CK120" s="34" t="e">
        <f>AND(#REF!,"AAAAADe/blg=")</f>
        <v>#REF!</v>
      </c>
      <c r="CL120" s="34" t="e">
        <f>IF(#REF!,"AAAAADe/blk=",0)</f>
        <v>#REF!</v>
      </c>
      <c r="CM120" s="34" t="e">
        <f>AND(#REF!,"AAAAADe/blo=")</f>
        <v>#REF!</v>
      </c>
      <c r="CN120" s="34" t="e">
        <f>AND(#REF!,"AAAAADe/bls=")</f>
        <v>#REF!</v>
      </c>
      <c r="CO120" s="34" t="e">
        <f>AND(#REF!,"AAAAADe/blw=")</f>
        <v>#REF!</v>
      </c>
      <c r="CP120" s="34" t="e">
        <f>AND(#REF!,"AAAAADe/bl0=")</f>
        <v>#REF!</v>
      </c>
      <c r="CQ120" s="34" t="e">
        <f>AND(#REF!,"AAAAADe/bl4=")</f>
        <v>#REF!</v>
      </c>
      <c r="CR120" s="34" t="e">
        <f>AND(#REF!,"AAAAADe/bl8=")</f>
        <v>#REF!</v>
      </c>
      <c r="CS120" s="34" t="e">
        <f>AND(#REF!,"AAAAADe/bmA=")</f>
        <v>#REF!</v>
      </c>
      <c r="CT120" s="34" t="e">
        <f>AND(#REF!,"AAAAADe/bmE=")</f>
        <v>#REF!</v>
      </c>
      <c r="CU120" s="34" t="e">
        <f>AND(#REF!,"AAAAADe/bmI=")</f>
        <v>#REF!</v>
      </c>
      <c r="CV120" s="34" t="e">
        <f>AND(#REF!,"AAAAADe/bmM=")</f>
        <v>#REF!</v>
      </c>
      <c r="CW120" s="34" t="e">
        <f>AND(#REF!,"AAAAADe/bmQ=")</f>
        <v>#REF!</v>
      </c>
      <c r="CX120" s="34" t="e">
        <f>AND(#REF!,"AAAAADe/bmU=")</f>
        <v>#REF!</v>
      </c>
      <c r="CY120" s="34" t="e">
        <f>AND(#REF!,"AAAAADe/bmY=")</f>
        <v>#REF!</v>
      </c>
      <c r="CZ120" s="34" t="e">
        <f>AND(#REF!,"AAAAADe/bmc=")</f>
        <v>#REF!</v>
      </c>
      <c r="DA120" s="34" t="e">
        <f>AND(#REF!,"AAAAADe/bmg=")</f>
        <v>#REF!</v>
      </c>
      <c r="DB120" s="34" t="e">
        <f>AND(#REF!,"AAAAADe/bmk=")</f>
        <v>#REF!</v>
      </c>
      <c r="DC120" s="34" t="e">
        <f>IF(#REF!,"AAAAADe/bmo=",0)</f>
        <v>#REF!</v>
      </c>
      <c r="DD120" s="34" t="e">
        <f>AND(#REF!,"AAAAADe/bms=")</f>
        <v>#REF!</v>
      </c>
      <c r="DE120" s="34" t="e">
        <f>AND(#REF!,"AAAAADe/bmw=")</f>
        <v>#REF!</v>
      </c>
      <c r="DF120" s="34" t="e">
        <f>AND(#REF!,"AAAAADe/bm0=")</f>
        <v>#REF!</v>
      </c>
      <c r="DG120" s="34" t="e">
        <f>AND(#REF!,"AAAAADe/bm4=")</f>
        <v>#REF!</v>
      </c>
      <c r="DH120" s="34" t="e">
        <f>AND(#REF!,"AAAAADe/bm8=")</f>
        <v>#REF!</v>
      </c>
      <c r="DI120" s="34" t="e">
        <f>AND(#REF!,"AAAAADe/bnA=")</f>
        <v>#REF!</v>
      </c>
      <c r="DJ120" s="34" t="e">
        <f>AND(#REF!,"AAAAADe/bnE=")</f>
        <v>#REF!</v>
      </c>
      <c r="DK120" s="34" t="e">
        <f>AND(#REF!,"AAAAADe/bnI=")</f>
        <v>#REF!</v>
      </c>
      <c r="DL120" s="34" t="e">
        <f>AND(#REF!,"AAAAADe/bnM=")</f>
        <v>#REF!</v>
      </c>
      <c r="DM120" s="34" t="e">
        <f>AND(#REF!,"AAAAADe/bnQ=")</f>
        <v>#REF!</v>
      </c>
      <c r="DN120" s="34" t="e">
        <f>AND(#REF!,"AAAAADe/bnU=")</f>
        <v>#REF!</v>
      </c>
      <c r="DO120" s="34" t="e">
        <f>AND(#REF!,"AAAAADe/bnY=")</f>
        <v>#REF!</v>
      </c>
      <c r="DP120" s="34" t="e">
        <f>AND(#REF!,"AAAAADe/bnc=")</f>
        <v>#REF!</v>
      </c>
      <c r="DQ120" s="34" t="e">
        <f>AND(#REF!,"AAAAADe/bng=")</f>
        <v>#REF!</v>
      </c>
      <c r="DR120" s="34" t="e">
        <f>AND(#REF!,"AAAAADe/bnk=")</f>
        <v>#REF!</v>
      </c>
      <c r="DS120" s="34" t="e">
        <f>AND(#REF!,"AAAAADe/bno=")</f>
        <v>#REF!</v>
      </c>
      <c r="DT120" s="34" t="e">
        <f>IF(#REF!,"AAAAADe/bns=",0)</f>
        <v>#REF!</v>
      </c>
      <c r="DU120" s="34" t="e">
        <f>AND(#REF!,"AAAAADe/bnw=")</f>
        <v>#REF!</v>
      </c>
      <c r="DV120" s="34" t="e">
        <f>AND(#REF!,"AAAAADe/bn0=")</f>
        <v>#REF!</v>
      </c>
      <c r="DW120" s="34" t="e">
        <f>AND(#REF!,"AAAAADe/bn4=")</f>
        <v>#REF!</v>
      </c>
      <c r="DX120" s="34" t="e">
        <f>AND(#REF!,"AAAAADe/bn8=")</f>
        <v>#REF!</v>
      </c>
      <c r="DY120" s="34" t="e">
        <f>AND(#REF!,"AAAAADe/boA=")</f>
        <v>#REF!</v>
      </c>
      <c r="DZ120" s="34" t="e">
        <f>AND(#REF!,"AAAAADe/boE=")</f>
        <v>#REF!</v>
      </c>
      <c r="EA120" s="34" t="e">
        <f>AND(#REF!,"AAAAADe/boI=")</f>
        <v>#REF!</v>
      </c>
      <c r="EB120" s="34" t="e">
        <f>AND(#REF!,"AAAAADe/boM=")</f>
        <v>#REF!</v>
      </c>
      <c r="EC120" s="34" t="e">
        <f>AND(#REF!,"AAAAADe/boQ=")</f>
        <v>#REF!</v>
      </c>
      <c r="ED120" s="34" t="e">
        <f>AND(#REF!,"AAAAADe/boU=")</f>
        <v>#REF!</v>
      </c>
      <c r="EE120" s="34" t="e">
        <f>AND(#REF!,"AAAAADe/boY=")</f>
        <v>#REF!</v>
      </c>
      <c r="EF120" s="34" t="e">
        <f>AND(#REF!,"AAAAADe/boc=")</f>
        <v>#REF!</v>
      </c>
      <c r="EG120" s="34" t="e">
        <f>AND(#REF!,"AAAAADe/bog=")</f>
        <v>#REF!</v>
      </c>
      <c r="EH120" s="34" t="e">
        <f>AND(#REF!,"AAAAADe/bok=")</f>
        <v>#REF!</v>
      </c>
      <c r="EI120" s="34" t="e">
        <f>AND(#REF!,"AAAAADe/boo=")</f>
        <v>#REF!</v>
      </c>
      <c r="EJ120" s="34" t="e">
        <f>AND(#REF!,"AAAAADe/bos=")</f>
        <v>#REF!</v>
      </c>
      <c r="EK120" s="34" t="e">
        <f>IF(#REF!,"AAAAADe/bow=",0)</f>
        <v>#REF!</v>
      </c>
      <c r="EL120" s="34" t="e">
        <f>AND(#REF!,"AAAAADe/bo0=")</f>
        <v>#REF!</v>
      </c>
      <c r="EM120" s="34" t="e">
        <f>AND(#REF!,"AAAAADe/bo4=")</f>
        <v>#REF!</v>
      </c>
      <c r="EN120" s="34" t="e">
        <f>AND(#REF!,"AAAAADe/bo8=")</f>
        <v>#REF!</v>
      </c>
      <c r="EO120" s="34" t="e">
        <f>AND(#REF!,"AAAAADe/bpA=")</f>
        <v>#REF!</v>
      </c>
      <c r="EP120" s="34" t="e">
        <f>AND(#REF!,"AAAAADe/bpE=")</f>
        <v>#REF!</v>
      </c>
      <c r="EQ120" s="34" t="e">
        <f>AND(#REF!,"AAAAADe/bpI=")</f>
        <v>#REF!</v>
      </c>
      <c r="ER120" s="34" t="e">
        <f>AND(#REF!,"AAAAADe/bpM=")</f>
        <v>#REF!</v>
      </c>
      <c r="ES120" s="34" t="e">
        <f>AND(#REF!,"AAAAADe/bpQ=")</f>
        <v>#REF!</v>
      </c>
      <c r="ET120" s="34" t="e">
        <f>AND(#REF!,"AAAAADe/bpU=")</f>
        <v>#REF!</v>
      </c>
      <c r="EU120" s="34" t="e">
        <f>AND(#REF!,"AAAAADe/bpY=")</f>
        <v>#REF!</v>
      </c>
      <c r="EV120" s="34" t="e">
        <f>AND(#REF!,"AAAAADe/bpc=")</f>
        <v>#REF!</v>
      </c>
      <c r="EW120" s="34" t="e">
        <f>AND(#REF!,"AAAAADe/bpg=")</f>
        <v>#REF!</v>
      </c>
      <c r="EX120" s="34" t="e">
        <f>AND(#REF!,"AAAAADe/bpk=")</f>
        <v>#REF!</v>
      </c>
      <c r="EY120" s="34" t="e">
        <f>AND(#REF!,"AAAAADe/bpo=")</f>
        <v>#REF!</v>
      </c>
      <c r="EZ120" s="34" t="e">
        <f>AND(#REF!,"AAAAADe/bps=")</f>
        <v>#REF!</v>
      </c>
      <c r="FA120" s="34" t="e">
        <f>AND(#REF!,"AAAAADe/bpw=")</f>
        <v>#REF!</v>
      </c>
      <c r="FB120" s="34" t="e">
        <f>IF(#REF!,"AAAAADe/bp0=",0)</f>
        <v>#REF!</v>
      </c>
      <c r="FC120" s="34" t="e">
        <f>AND(#REF!,"AAAAADe/bp4=")</f>
        <v>#REF!</v>
      </c>
      <c r="FD120" s="34" t="e">
        <f>AND(#REF!,"AAAAADe/bp8=")</f>
        <v>#REF!</v>
      </c>
      <c r="FE120" s="34" t="e">
        <f>AND(#REF!,"AAAAADe/bqA=")</f>
        <v>#REF!</v>
      </c>
      <c r="FF120" s="34" t="e">
        <f>AND(#REF!,"AAAAADe/bqE=")</f>
        <v>#REF!</v>
      </c>
      <c r="FG120" s="34" t="e">
        <f>AND(#REF!,"AAAAADe/bqI=")</f>
        <v>#REF!</v>
      </c>
      <c r="FH120" s="34" t="e">
        <f>AND(#REF!,"AAAAADe/bqM=")</f>
        <v>#REF!</v>
      </c>
      <c r="FI120" s="34" t="e">
        <f>AND(#REF!,"AAAAADe/bqQ=")</f>
        <v>#REF!</v>
      </c>
      <c r="FJ120" s="34" t="e">
        <f>AND(#REF!,"AAAAADe/bqU=")</f>
        <v>#REF!</v>
      </c>
      <c r="FK120" s="34" t="e">
        <f>AND(#REF!,"AAAAADe/bqY=")</f>
        <v>#REF!</v>
      </c>
      <c r="FL120" s="34" t="e">
        <f>AND(#REF!,"AAAAADe/bqc=")</f>
        <v>#REF!</v>
      </c>
      <c r="FM120" s="34" t="e">
        <f>AND(#REF!,"AAAAADe/bqg=")</f>
        <v>#REF!</v>
      </c>
      <c r="FN120" s="34" t="e">
        <f>AND(#REF!,"AAAAADe/bqk=")</f>
        <v>#REF!</v>
      </c>
      <c r="FO120" s="34" t="e">
        <f>AND(#REF!,"AAAAADe/bqo=")</f>
        <v>#REF!</v>
      </c>
      <c r="FP120" s="34" t="e">
        <f>AND(#REF!,"AAAAADe/bqs=")</f>
        <v>#REF!</v>
      </c>
      <c r="FQ120" s="34" t="e">
        <f>AND(#REF!,"AAAAADe/bqw=")</f>
        <v>#REF!</v>
      </c>
      <c r="FR120" s="34" t="e">
        <f>AND(#REF!,"AAAAADe/bq0=")</f>
        <v>#REF!</v>
      </c>
      <c r="FS120" s="34" t="e">
        <f>IF(#REF!,"AAAAADe/bq4=",0)</f>
        <v>#REF!</v>
      </c>
      <c r="FT120" s="34" t="e">
        <f>AND(#REF!,"AAAAADe/bq8=")</f>
        <v>#REF!</v>
      </c>
      <c r="FU120" s="34" t="e">
        <f>AND(#REF!,"AAAAADe/brA=")</f>
        <v>#REF!</v>
      </c>
      <c r="FV120" s="34" t="e">
        <f>AND(#REF!,"AAAAADe/brE=")</f>
        <v>#REF!</v>
      </c>
      <c r="FW120" s="34" t="e">
        <f>AND(#REF!,"AAAAADe/brI=")</f>
        <v>#REF!</v>
      </c>
      <c r="FX120" s="34" t="e">
        <f>AND(#REF!,"AAAAADe/brM=")</f>
        <v>#REF!</v>
      </c>
      <c r="FY120" s="34" t="e">
        <f>AND(#REF!,"AAAAADe/brQ=")</f>
        <v>#REF!</v>
      </c>
      <c r="FZ120" s="34" t="e">
        <f>AND(#REF!,"AAAAADe/brU=")</f>
        <v>#REF!</v>
      </c>
      <c r="GA120" s="34" t="e">
        <f>AND(#REF!,"AAAAADe/brY=")</f>
        <v>#REF!</v>
      </c>
      <c r="GB120" s="34" t="e">
        <f>AND(#REF!,"AAAAADe/brc=")</f>
        <v>#REF!</v>
      </c>
      <c r="GC120" s="34" t="e">
        <f>AND(#REF!,"AAAAADe/brg=")</f>
        <v>#REF!</v>
      </c>
      <c r="GD120" s="34" t="e">
        <f>AND(#REF!,"AAAAADe/brk=")</f>
        <v>#REF!</v>
      </c>
      <c r="GE120" s="34" t="e">
        <f>AND(#REF!,"AAAAADe/bro=")</f>
        <v>#REF!</v>
      </c>
      <c r="GF120" s="34" t="e">
        <f>AND(#REF!,"AAAAADe/brs=")</f>
        <v>#REF!</v>
      </c>
      <c r="GG120" s="34" t="e">
        <f>AND(#REF!,"AAAAADe/brw=")</f>
        <v>#REF!</v>
      </c>
      <c r="GH120" s="34" t="e">
        <f>AND(#REF!,"AAAAADe/br0=")</f>
        <v>#REF!</v>
      </c>
      <c r="GI120" s="34" t="e">
        <f>AND(#REF!,"AAAAADe/br4=")</f>
        <v>#REF!</v>
      </c>
      <c r="GJ120" s="34" t="e">
        <f>IF(#REF!,"AAAAADe/br8=",0)</f>
        <v>#REF!</v>
      </c>
      <c r="GK120" s="34" t="e">
        <f>AND(#REF!,"AAAAADe/bsA=")</f>
        <v>#REF!</v>
      </c>
      <c r="GL120" s="34" t="e">
        <f>AND(#REF!,"AAAAADe/bsE=")</f>
        <v>#REF!</v>
      </c>
      <c r="GM120" s="34" t="e">
        <f>AND(#REF!,"AAAAADe/bsI=")</f>
        <v>#REF!</v>
      </c>
      <c r="GN120" s="34" t="e">
        <f>AND(#REF!,"AAAAADe/bsM=")</f>
        <v>#REF!</v>
      </c>
      <c r="GO120" s="34" t="e">
        <f>AND(#REF!,"AAAAADe/bsQ=")</f>
        <v>#REF!</v>
      </c>
      <c r="GP120" s="34" t="e">
        <f>AND(#REF!,"AAAAADe/bsU=")</f>
        <v>#REF!</v>
      </c>
      <c r="GQ120" s="34" t="e">
        <f>AND(#REF!,"AAAAADe/bsY=")</f>
        <v>#REF!</v>
      </c>
      <c r="GR120" s="34" t="e">
        <f>AND(#REF!,"AAAAADe/bsc=")</f>
        <v>#REF!</v>
      </c>
      <c r="GS120" s="34" t="e">
        <f>AND(#REF!,"AAAAADe/bsg=")</f>
        <v>#REF!</v>
      </c>
      <c r="GT120" s="34" t="e">
        <f>AND(#REF!,"AAAAADe/bsk=")</f>
        <v>#REF!</v>
      </c>
      <c r="GU120" s="34" t="e">
        <f>AND(#REF!,"AAAAADe/bso=")</f>
        <v>#REF!</v>
      </c>
      <c r="GV120" s="34" t="e">
        <f>AND(#REF!,"AAAAADe/bss=")</f>
        <v>#REF!</v>
      </c>
      <c r="GW120" s="34" t="e">
        <f>AND(#REF!,"AAAAADe/bsw=")</f>
        <v>#REF!</v>
      </c>
      <c r="GX120" s="34" t="e">
        <f>AND(#REF!,"AAAAADe/bs0=")</f>
        <v>#REF!</v>
      </c>
      <c r="GY120" s="34" t="e">
        <f>AND(#REF!,"AAAAADe/bs4=")</f>
        <v>#REF!</v>
      </c>
      <c r="GZ120" s="34" t="e">
        <f>AND(#REF!,"AAAAADe/bs8=")</f>
        <v>#REF!</v>
      </c>
      <c r="HA120" s="34" t="e">
        <f>IF(#REF!,"AAAAADe/btA=",0)</f>
        <v>#REF!</v>
      </c>
      <c r="HB120" s="34" t="e">
        <f>AND(#REF!,"AAAAADe/btE=")</f>
        <v>#REF!</v>
      </c>
      <c r="HC120" s="34" t="e">
        <f>AND(#REF!,"AAAAADe/btI=")</f>
        <v>#REF!</v>
      </c>
      <c r="HD120" s="34" t="e">
        <f>AND(#REF!,"AAAAADe/btM=")</f>
        <v>#REF!</v>
      </c>
      <c r="HE120" s="34" t="e">
        <f>AND(#REF!,"AAAAADe/btQ=")</f>
        <v>#REF!</v>
      </c>
      <c r="HF120" s="34" t="e">
        <f>AND(#REF!,"AAAAADe/btU=")</f>
        <v>#REF!</v>
      </c>
      <c r="HG120" s="34" t="e">
        <f>AND(#REF!,"AAAAADe/btY=")</f>
        <v>#REF!</v>
      </c>
      <c r="HH120" s="34" t="e">
        <f>AND(#REF!,"AAAAADe/btc=")</f>
        <v>#REF!</v>
      </c>
      <c r="HI120" s="34" t="e">
        <f>AND(#REF!,"AAAAADe/btg=")</f>
        <v>#REF!</v>
      </c>
      <c r="HJ120" s="34" t="e">
        <f>AND(#REF!,"AAAAADe/btk=")</f>
        <v>#REF!</v>
      </c>
      <c r="HK120" s="34" t="e">
        <f>AND(#REF!,"AAAAADe/bto=")</f>
        <v>#REF!</v>
      </c>
      <c r="HL120" s="34" t="e">
        <f>AND(#REF!,"AAAAADe/bts=")</f>
        <v>#REF!</v>
      </c>
      <c r="HM120" s="34" t="e">
        <f>AND(#REF!,"AAAAADe/btw=")</f>
        <v>#REF!</v>
      </c>
      <c r="HN120" s="34" t="e">
        <f>AND(#REF!,"AAAAADe/bt0=")</f>
        <v>#REF!</v>
      </c>
      <c r="HO120" s="34" t="e">
        <f>AND(#REF!,"AAAAADe/bt4=")</f>
        <v>#REF!</v>
      </c>
      <c r="HP120" s="34" t="e">
        <f>AND(#REF!,"AAAAADe/bt8=")</f>
        <v>#REF!</v>
      </c>
      <c r="HQ120" s="34" t="e">
        <f>AND(#REF!,"AAAAADe/buA=")</f>
        <v>#REF!</v>
      </c>
      <c r="HR120" s="34" t="e">
        <f>IF(#REF!,"AAAAADe/buE=",0)</f>
        <v>#REF!</v>
      </c>
      <c r="HS120" s="34" t="e">
        <f>AND(#REF!,"AAAAADe/buI=")</f>
        <v>#REF!</v>
      </c>
      <c r="HT120" s="34" t="e">
        <f>AND(#REF!,"AAAAADe/buM=")</f>
        <v>#REF!</v>
      </c>
      <c r="HU120" s="34" t="e">
        <f>AND(#REF!,"AAAAADe/buQ=")</f>
        <v>#REF!</v>
      </c>
      <c r="HV120" s="34" t="e">
        <f>AND(#REF!,"AAAAADe/buU=")</f>
        <v>#REF!</v>
      </c>
      <c r="HW120" s="34" t="e">
        <f>AND(#REF!,"AAAAADe/buY=")</f>
        <v>#REF!</v>
      </c>
      <c r="HX120" s="34" t="e">
        <f>AND(#REF!,"AAAAADe/buc=")</f>
        <v>#REF!</v>
      </c>
      <c r="HY120" s="34" t="e">
        <f>AND(#REF!,"AAAAADe/bug=")</f>
        <v>#REF!</v>
      </c>
      <c r="HZ120" s="34" t="e">
        <f>AND(#REF!,"AAAAADe/buk=")</f>
        <v>#REF!</v>
      </c>
      <c r="IA120" s="34" t="e">
        <f>AND(#REF!,"AAAAADe/buo=")</f>
        <v>#REF!</v>
      </c>
      <c r="IB120" s="34" t="e">
        <f>AND(#REF!,"AAAAADe/bus=")</f>
        <v>#REF!</v>
      </c>
      <c r="IC120" s="34" t="e">
        <f>AND(#REF!,"AAAAADe/buw=")</f>
        <v>#REF!</v>
      </c>
      <c r="ID120" s="34" t="e">
        <f>AND(#REF!,"AAAAADe/bu0=")</f>
        <v>#REF!</v>
      </c>
      <c r="IE120" s="34" t="e">
        <f>AND(#REF!,"AAAAADe/bu4=")</f>
        <v>#REF!</v>
      </c>
      <c r="IF120" s="34" t="e">
        <f>AND(#REF!,"AAAAADe/bu8=")</f>
        <v>#REF!</v>
      </c>
      <c r="IG120" s="34" t="e">
        <f>AND(#REF!,"AAAAADe/bvA=")</f>
        <v>#REF!</v>
      </c>
      <c r="IH120" s="34" t="e">
        <f>AND(#REF!,"AAAAADe/bvE=")</f>
        <v>#REF!</v>
      </c>
      <c r="II120" s="34" t="e">
        <f>IF(#REF!,"AAAAADe/bvI=",0)</f>
        <v>#REF!</v>
      </c>
      <c r="IJ120" s="34" t="e">
        <f>AND(#REF!,"AAAAADe/bvM=")</f>
        <v>#REF!</v>
      </c>
      <c r="IK120" s="34" t="e">
        <f>AND(#REF!,"AAAAADe/bvQ=")</f>
        <v>#REF!</v>
      </c>
      <c r="IL120" s="34" t="e">
        <f>AND(#REF!,"AAAAADe/bvU=")</f>
        <v>#REF!</v>
      </c>
      <c r="IM120" s="34" t="e">
        <f>AND(#REF!,"AAAAADe/bvY=")</f>
        <v>#REF!</v>
      </c>
      <c r="IN120" s="34" t="e">
        <f>AND(#REF!,"AAAAADe/bvc=")</f>
        <v>#REF!</v>
      </c>
      <c r="IO120" s="34" t="e">
        <f>AND(#REF!,"AAAAADe/bvg=")</f>
        <v>#REF!</v>
      </c>
      <c r="IP120" s="34" t="e">
        <f>AND(#REF!,"AAAAADe/bvk=")</f>
        <v>#REF!</v>
      </c>
      <c r="IQ120" s="34" t="e">
        <f>AND(#REF!,"AAAAADe/bvo=")</f>
        <v>#REF!</v>
      </c>
      <c r="IR120" s="34" t="e">
        <f>AND(#REF!,"AAAAADe/bvs=")</f>
        <v>#REF!</v>
      </c>
      <c r="IS120" s="34" t="e">
        <f>AND(#REF!,"AAAAADe/bvw=")</f>
        <v>#REF!</v>
      </c>
      <c r="IT120" s="34" t="e">
        <f>AND(#REF!,"AAAAADe/bv0=")</f>
        <v>#REF!</v>
      </c>
      <c r="IU120" s="34" t="e">
        <f>AND(#REF!,"AAAAADe/bv4=")</f>
        <v>#REF!</v>
      </c>
      <c r="IV120" s="34" t="e">
        <f>AND(#REF!,"AAAAADe/bv8=")</f>
        <v>#REF!</v>
      </c>
    </row>
    <row r="121" spans="1:256" ht="12.75" customHeight="1" x14ac:dyDescent="0.2">
      <c r="A121" s="34" t="e">
        <f>AND(#REF!,"AAAAADvvNgA=")</f>
        <v>#REF!</v>
      </c>
      <c r="B121" s="34" t="e">
        <f>AND(#REF!,"AAAAADvvNgE=")</f>
        <v>#REF!</v>
      </c>
      <c r="C121" s="34" t="e">
        <f>AND(#REF!,"AAAAADvvNgI=")</f>
        <v>#REF!</v>
      </c>
      <c r="D121" s="34" t="e">
        <f>IF(#REF!,"AAAAADvvNgM=",0)</f>
        <v>#REF!</v>
      </c>
      <c r="E121" s="34" t="e">
        <f>AND(#REF!,"AAAAADvvNgQ=")</f>
        <v>#REF!</v>
      </c>
      <c r="F121" s="34" t="e">
        <f>AND(#REF!,"AAAAADvvNgU=")</f>
        <v>#REF!</v>
      </c>
      <c r="G121" s="34" t="e">
        <f>AND(#REF!,"AAAAADvvNgY=")</f>
        <v>#REF!</v>
      </c>
      <c r="H121" s="34" t="e">
        <f>AND(#REF!,"AAAAADvvNgc=")</f>
        <v>#REF!</v>
      </c>
      <c r="I121" s="34" t="e">
        <f>AND(#REF!,"AAAAADvvNgg=")</f>
        <v>#REF!</v>
      </c>
      <c r="J121" s="34" t="e">
        <f>AND(#REF!,"AAAAADvvNgk=")</f>
        <v>#REF!</v>
      </c>
      <c r="K121" s="34" t="e">
        <f>AND(#REF!,"AAAAADvvNgo=")</f>
        <v>#REF!</v>
      </c>
      <c r="L121" s="34" t="e">
        <f>AND(#REF!,"AAAAADvvNgs=")</f>
        <v>#REF!</v>
      </c>
      <c r="M121" s="34" t="e">
        <f>AND(#REF!,"AAAAADvvNgw=")</f>
        <v>#REF!</v>
      </c>
      <c r="N121" s="34" t="e">
        <f>AND(#REF!,"AAAAADvvNg0=")</f>
        <v>#REF!</v>
      </c>
      <c r="O121" s="34" t="e">
        <f>AND(#REF!,"AAAAADvvNg4=")</f>
        <v>#REF!</v>
      </c>
      <c r="P121" s="34" t="e">
        <f>AND(#REF!,"AAAAADvvNg8=")</f>
        <v>#REF!</v>
      </c>
      <c r="Q121" s="34" t="e">
        <f>AND(#REF!,"AAAAADvvNhA=")</f>
        <v>#REF!</v>
      </c>
      <c r="R121" s="34" t="e">
        <f>AND(#REF!,"AAAAADvvNhE=")</f>
        <v>#REF!</v>
      </c>
      <c r="S121" s="34" t="e">
        <f>AND(#REF!,"AAAAADvvNhI=")</f>
        <v>#REF!</v>
      </c>
      <c r="T121" s="34" t="e">
        <f>AND(#REF!,"AAAAADvvNhM=")</f>
        <v>#REF!</v>
      </c>
      <c r="U121" s="34" t="e">
        <f>IF(#REF!,"AAAAADvvNhQ=",0)</f>
        <v>#REF!</v>
      </c>
      <c r="V121" s="34" t="e">
        <f>AND(#REF!,"AAAAADvvNhU=")</f>
        <v>#REF!</v>
      </c>
      <c r="W121" s="34" t="e">
        <f>AND(#REF!,"AAAAADvvNhY=")</f>
        <v>#REF!</v>
      </c>
      <c r="X121" s="34" t="e">
        <f>AND(#REF!,"AAAAADvvNhc=")</f>
        <v>#REF!</v>
      </c>
      <c r="Y121" s="34" t="e">
        <f>AND(#REF!,"AAAAADvvNhg=")</f>
        <v>#REF!</v>
      </c>
      <c r="Z121" s="34" t="e">
        <f>AND(#REF!,"AAAAADvvNhk=")</f>
        <v>#REF!</v>
      </c>
      <c r="AA121" s="34" t="e">
        <f>AND(#REF!,"AAAAADvvNho=")</f>
        <v>#REF!</v>
      </c>
      <c r="AB121" s="34" t="e">
        <f>AND(#REF!,"AAAAADvvNhs=")</f>
        <v>#REF!</v>
      </c>
      <c r="AC121" s="34" t="e">
        <f>AND(#REF!,"AAAAADvvNhw=")</f>
        <v>#REF!</v>
      </c>
      <c r="AD121" s="34" t="e">
        <f>AND(#REF!,"AAAAADvvNh0=")</f>
        <v>#REF!</v>
      </c>
      <c r="AE121" s="34" t="e">
        <f>AND(#REF!,"AAAAADvvNh4=")</f>
        <v>#REF!</v>
      </c>
      <c r="AF121" s="34" t="e">
        <f>AND(#REF!,"AAAAADvvNh8=")</f>
        <v>#REF!</v>
      </c>
      <c r="AG121" s="34" t="e">
        <f>AND(#REF!,"AAAAADvvNiA=")</f>
        <v>#REF!</v>
      </c>
      <c r="AH121" s="34" t="e">
        <f>AND(#REF!,"AAAAADvvNiE=")</f>
        <v>#REF!</v>
      </c>
      <c r="AI121" s="34" t="e">
        <f>AND(#REF!,"AAAAADvvNiI=")</f>
        <v>#REF!</v>
      </c>
      <c r="AJ121" s="34" t="e">
        <f>AND(#REF!,"AAAAADvvNiM=")</f>
        <v>#REF!</v>
      </c>
      <c r="AK121" s="34" t="e">
        <f>AND(#REF!,"AAAAADvvNiQ=")</f>
        <v>#REF!</v>
      </c>
      <c r="AL121" s="34" t="e">
        <f>IF(#REF!,"AAAAADvvNiU=",0)</f>
        <v>#REF!</v>
      </c>
      <c r="AM121" s="34" t="e">
        <f>AND(#REF!,"AAAAADvvNiY=")</f>
        <v>#REF!</v>
      </c>
      <c r="AN121" s="34" t="e">
        <f>AND(#REF!,"AAAAADvvNic=")</f>
        <v>#REF!</v>
      </c>
      <c r="AO121" s="34" t="e">
        <f>AND(#REF!,"AAAAADvvNig=")</f>
        <v>#REF!</v>
      </c>
      <c r="AP121" s="34" t="e">
        <f>AND(#REF!,"AAAAADvvNik=")</f>
        <v>#REF!</v>
      </c>
      <c r="AQ121" s="34" t="e">
        <f>AND(#REF!,"AAAAADvvNio=")</f>
        <v>#REF!</v>
      </c>
      <c r="AR121" s="34" t="e">
        <f>AND(#REF!,"AAAAADvvNis=")</f>
        <v>#REF!</v>
      </c>
      <c r="AS121" s="34" t="e">
        <f>AND(#REF!,"AAAAADvvNiw=")</f>
        <v>#REF!</v>
      </c>
      <c r="AT121" s="34" t="e">
        <f>AND(#REF!,"AAAAADvvNi0=")</f>
        <v>#REF!</v>
      </c>
      <c r="AU121" s="34" t="e">
        <f>AND(#REF!,"AAAAADvvNi4=")</f>
        <v>#REF!</v>
      </c>
      <c r="AV121" s="34" t="e">
        <f>AND(#REF!,"AAAAADvvNi8=")</f>
        <v>#REF!</v>
      </c>
      <c r="AW121" s="34" t="e">
        <f>AND(#REF!,"AAAAADvvNjA=")</f>
        <v>#REF!</v>
      </c>
      <c r="AX121" s="34" t="e">
        <f>AND(#REF!,"AAAAADvvNjE=")</f>
        <v>#REF!</v>
      </c>
      <c r="AY121" s="34" t="e">
        <f>AND(#REF!,"AAAAADvvNjI=")</f>
        <v>#REF!</v>
      </c>
      <c r="AZ121" s="34" t="e">
        <f>AND(#REF!,"AAAAADvvNjM=")</f>
        <v>#REF!</v>
      </c>
      <c r="BA121" s="34" t="e">
        <f>AND(#REF!,"AAAAADvvNjQ=")</f>
        <v>#REF!</v>
      </c>
      <c r="BB121" s="34" t="e">
        <f>AND(#REF!,"AAAAADvvNjU=")</f>
        <v>#REF!</v>
      </c>
      <c r="BC121" s="34" t="e">
        <f>IF(#REF!,"AAAAADvvNjY=",0)</f>
        <v>#REF!</v>
      </c>
      <c r="BD121" s="34" t="e">
        <f>AND(#REF!,"AAAAADvvNjc=")</f>
        <v>#REF!</v>
      </c>
      <c r="BE121" s="34" t="e">
        <f>AND(#REF!,"AAAAADvvNjg=")</f>
        <v>#REF!</v>
      </c>
      <c r="BF121" s="34" t="e">
        <f>AND(#REF!,"AAAAADvvNjk=")</f>
        <v>#REF!</v>
      </c>
      <c r="BG121" s="34" t="e">
        <f>AND(#REF!,"AAAAADvvNjo=")</f>
        <v>#REF!</v>
      </c>
      <c r="BH121" s="34" t="e">
        <f>AND(#REF!,"AAAAADvvNjs=")</f>
        <v>#REF!</v>
      </c>
      <c r="BI121" s="34" t="e">
        <f>AND(#REF!,"AAAAADvvNjw=")</f>
        <v>#REF!</v>
      </c>
      <c r="BJ121" s="34" t="e">
        <f>AND(#REF!,"AAAAADvvNj0=")</f>
        <v>#REF!</v>
      </c>
      <c r="BK121" s="34" t="e">
        <f>AND(#REF!,"AAAAADvvNj4=")</f>
        <v>#REF!</v>
      </c>
      <c r="BL121" s="34" t="e">
        <f>AND(#REF!,"AAAAADvvNj8=")</f>
        <v>#REF!</v>
      </c>
      <c r="BM121" s="34" t="e">
        <f>AND(#REF!,"AAAAADvvNkA=")</f>
        <v>#REF!</v>
      </c>
      <c r="BN121" s="34" t="e">
        <f>AND(#REF!,"AAAAADvvNkE=")</f>
        <v>#REF!</v>
      </c>
      <c r="BO121" s="34" t="e">
        <f>AND(#REF!,"AAAAADvvNkI=")</f>
        <v>#REF!</v>
      </c>
      <c r="BP121" s="34" t="e">
        <f>AND(#REF!,"AAAAADvvNkM=")</f>
        <v>#REF!</v>
      </c>
      <c r="BQ121" s="34" t="e">
        <f>AND(#REF!,"AAAAADvvNkQ=")</f>
        <v>#REF!</v>
      </c>
      <c r="BR121" s="34" t="e">
        <f>AND(#REF!,"AAAAADvvNkU=")</f>
        <v>#REF!</v>
      </c>
      <c r="BS121" s="34" t="e">
        <f>AND(#REF!,"AAAAADvvNkY=")</f>
        <v>#REF!</v>
      </c>
      <c r="BT121" s="34" t="e">
        <f>IF(#REF!,"AAAAADvvNkc=",0)</f>
        <v>#REF!</v>
      </c>
      <c r="BU121" s="34" t="e">
        <f>AND(#REF!,"AAAAADvvNkg=")</f>
        <v>#REF!</v>
      </c>
      <c r="BV121" s="34" t="e">
        <f>AND(#REF!,"AAAAADvvNkk=")</f>
        <v>#REF!</v>
      </c>
      <c r="BW121" s="34" t="e">
        <f>AND(#REF!,"AAAAADvvNko=")</f>
        <v>#REF!</v>
      </c>
      <c r="BX121" s="34" t="e">
        <f>AND(#REF!,"AAAAADvvNks=")</f>
        <v>#REF!</v>
      </c>
      <c r="BY121" s="34" t="e">
        <f>AND(#REF!,"AAAAADvvNkw=")</f>
        <v>#REF!</v>
      </c>
      <c r="BZ121" s="34" t="e">
        <f>AND(#REF!,"AAAAADvvNk0=")</f>
        <v>#REF!</v>
      </c>
      <c r="CA121" s="34" t="e">
        <f>AND(#REF!,"AAAAADvvNk4=")</f>
        <v>#REF!</v>
      </c>
      <c r="CB121" s="34" t="e">
        <f>AND(#REF!,"AAAAADvvNk8=")</f>
        <v>#REF!</v>
      </c>
      <c r="CC121" s="34" t="e">
        <f>AND(#REF!,"AAAAADvvNlA=")</f>
        <v>#REF!</v>
      </c>
      <c r="CD121" s="34" t="e">
        <f>AND(#REF!,"AAAAADvvNlE=")</f>
        <v>#REF!</v>
      </c>
      <c r="CE121" s="34" t="e">
        <f>AND(#REF!,"AAAAADvvNlI=")</f>
        <v>#REF!</v>
      </c>
      <c r="CF121" s="34" t="e">
        <f>AND(#REF!,"AAAAADvvNlM=")</f>
        <v>#REF!</v>
      </c>
      <c r="CG121" s="34" t="e">
        <f>AND(#REF!,"AAAAADvvNlQ=")</f>
        <v>#REF!</v>
      </c>
      <c r="CH121" s="34" t="e">
        <f>AND(#REF!,"AAAAADvvNlU=")</f>
        <v>#REF!</v>
      </c>
      <c r="CI121" s="34" t="e">
        <f>AND(#REF!,"AAAAADvvNlY=")</f>
        <v>#REF!</v>
      </c>
      <c r="CJ121" s="34" t="e">
        <f>AND(#REF!,"AAAAADvvNlc=")</f>
        <v>#REF!</v>
      </c>
      <c r="CK121" s="34" t="e">
        <f>IF(#REF!,"AAAAADvvNlg=",0)</f>
        <v>#REF!</v>
      </c>
      <c r="CL121" s="34" t="e">
        <f>AND(#REF!,"AAAAADvvNlk=")</f>
        <v>#REF!</v>
      </c>
      <c r="CM121" s="34" t="e">
        <f>AND(#REF!,"AAAAADvvNlo=")</f>
        <v>#REF!</v>
      </c>
      <c r="CN121" s="34" t="e">
        <f>AND(#REF!,"AAAAADvvNls=")</f>
        <v>#REF!</v>
      </c>
      <c r="CO121" s="34" t="e">
        <f>AND(#REF!,"AAAAADvvNlw=")</f>
        <v>#REF!</v>
      </c>
      <c r="CP121" s="34" t="e">
        <f>AND(#REF!,"AAAAADvvNl0=")</f>
        <v>#REF!</v>
      </c>
      <c r="CQ121" s="34" t="e">
        <f>AND(#REF!,"AAAAADvvNl4=")</f>
        <v>#REF!</v>
      </c>
      <c r="CR121" s="34" t="e">
        <f>AND(#REF!,"AAAAADvvNl8=")</f>
        <v>#REF!</v>
      </c>
      <c r="CS121" s="34" t="e">
        <f>AND(#REF!,"AAAAADvvNmA=")</f>
        <v>#REF!</v>
      </c>
      <c r="CT121" s="34" t="e">
        <f>AND(#REF!,"AAAAADvvNmE=")</f>
        <v>#REF!</v>
      </c>
      <c r="CU121" s="34" t="e">
        <f>AND(#REF!,"AAAAADvvNmI=")</f>
        <v>#REF!</v>
      </c>
      <c r="CV121" s="34" t="e">
        <f>AND(#REF!,"AAAAADvvNmM=")</f>
        <v>#REF!</v>
      </c>
      <c r="CW121" s="34" t="e">
        <f>AND(#REF!,"AAAAADvvNmQ=")</f>
        <v>#REF!</v>
      </c>
      <c r="CX121" s="34" t="e">
        <f>AND(#REF!,"AAAAADvvNmU=")</f>
        <v>#REF!</v>
      </c>
      <c r="CY121" s="34" t="e">
        <f>AND(#REF!,"AAAAADvvNmY=")</f>
        <v>#REF!</v>
      </c>
      <c r="CZ121" s="34" t="e">
        <f>AND(#REF!,"AAAAADvvNmc=")</f>
        <v>#REF!</v>
      </c>
      <c r="DA121" s="34" t="e">
        <f>AND(#REF!,"AAAAADvvNmg=")</f>
        <v>#REF!</v>
      </c>
      <c r="DB121" s="34" t="e">
        <f>IF(#REF!,"AAAAADvvNmk=",0)</f>
        <v>#REF!</v>
      </c>
      <c r="DC121" s="34" t="e">
        <f>AND(#REF!,"AAAAADvvNmo=")</f>
        <v>#REF!</v>
      </c>
      <c r="DD121" s="34" t="e">
        <f>AND(#REF!,"AAAAADvvNms=")</f>
        <v>#REF!</v>
      </c>
      <c r="DE121" s="34" t="e">
        <f>AND(#REF!,"AAAAADvvNmw=")</f>
        <v>#REF!</v>
      </c>
      <c r="DF121" s="34" t="e">
        <f>AND(#REF!,"AAAAADvvNm0=")</f>
        <v>#REF!</v>
      </c>
      <c r="DG121" s="34" t="e">
        <f>AND(#REF!,"AAAAADvvNm4=")</f>
        <v>#REF!</v>
      </c>
      <c r="DH121" s="34" t="e">
        <f>AND(#REF!,"AAAAADvvNm8=")</f>
        <v>#REF!</v>
      </c>
      <c r="DI121" s="34" t="e">
        <f>AND(#REF!,"AAAAADvvNnA=")</f>
        <v>#REF!</v>
      </c>
      <c r="DJ121" s="34" t="e">
        <f>AND(#REF!,"AAAAADvvNnE=")</f>
        <v>#REF!</v>
      </c>
      <c r="DK121" s="34" t="e">
        <f>AND(#REF!,"AAAAADvvNnI=")</f>
        <v>#REF!</v>
      </c>
      <c r="DL121" s="34" t="e">
        <f>AND(#REF!,"AAAAADvvNnM=")</f>
        <v>#REF!</v>
      </c>
      <c r="DM121" s="34" t="e">
        <f>AND(#REF!,"AAAAADvvNnQ=")</f>
        <v>#REF!</v>
      </c>
      <c r="DN121" s="34" t="e">
        <f>AND(#REF!,"AAAAADvvNnU=")</f>
        <v>#REF!</v>
      </c>
      <c r="DO121" s="34" t="e">
        <f>AND(#REF!,"AAAAADvvNnY=")</f>
        <v>#REF!</v>
      </c>
      <c r="DP121" s="34" t="e">
        <f>AND(#REF!,"AAAAADvvNnc=")</f>
        <v>#REF!</v>
      </c>
      <c r="DQ121" s="34" t="e">
        <f>AND(#REF!,"AAAAADvvNng=")</f>
        <v>#REF!</v>
      </c>
      <c r="DR121" s="34" t="e">
        <f>AND(#REF!,"AAAAADvvNnk=")</f>
        <v>#REF!</v>
      </c>
      <c r="DS121" s="34" t="e">
        <f>IF(#REF!,"AAAAADvvNno=",0)</f>
        <v>#REF!</v>
      </c>
      <c r="DT121" s="34" t="e">
        <f>AND(#REF!,"AAAAADvvNns=")</f>
        <v>#REF!</v>
      </c>
      <c r="DU121" s="34" t="e">
        <f>AND(#REF!,"AAAAADvvNnw=")</f>
        <v>#REF!</v>
      </c>
      <c r="DV121" s="34" t="e">
        <f>AND(#REF!,"AAAAADvvNn0=")</f>
        <v>#REF!</v>
      </c>
      <c r="DW121" s="34" t="e">
        <f>AND(#REF!,"AAAAADvvNn4=")</f>
        <v>#REF!</v>
      </c>
      <c r="DX121" s="34" t="e">
        <f>AND(#REF!,"AAAAADvvNn8=")</f>
        <v>#REF!</v>
      </c>
      <c r="DY121" s="34" t="e">
        <f>AND(#REF!,"AAAAADvvNoA=")</f>
        <v>#REF!</v>
      </c>
      <c r="DZ121" s="34" t="e">
        <f>AND(#REF!,"AAAAADvvNoE=")</f>
        <v>#REF!</v>
      </c>
      <c r="EA121" s="34" t="e">
        <f>AND(#REF!,"AAAAADvvNoI=")</f>
        <v>#REF!</v>
      </c>
      <c r="EB121" s="34" t="e">
        <f>AND(#REF!,"AAAAADvvNoM=")</f>
        <v>#REF!</v>
      </c>
      <c r="EC121" s="34" t="e">
        <f>AND(#REF!,"AAAAADvvNoQ=")</f>
        <v>#REF!</v>
      </c>
      <c r="ED121" s="34" t="e">
        <f>AND(#REF!,"AAAAADvvNoU=")</f>
        <v>#REF!</v>
      </c>
      <c r="EE121" s="34" t="e">
        <f>AND(#REF!,"AAAAADvvNoY=")</f>
        <v>#REF!</v>
      </c>
      <c r="EF121" s="34" t="e">
        <f>AND(#REF!,"AAAAADvvNoc=")</f>
        <v>#REF!</v>
      </c>
      <c r="EG121" s="34" t="e">
        <f>AND(#REF!,"AAAAADvvNog=")</f>
        <v>#REF!</v>
      </c>
      <c r="EH121" s="34" t="e">
        <f>AND(#REF!,"AAAAADvvNok=")</f>
        <v>#REF!</v>
      </c>
      <c r="EI121" s="34" t="e">
        <f>AND(#REF!,"AAAAADvvNoo=")</f>
        <v>#REF!</v>
      </c>
      <c r="EJ121" s="34" t="e">
        <f>IF(#REF!,"AAAAADvvNos=",0)</f>
        <v>#REF!</v>
      </c>
      <c r="EK121" s="34" t="e">
        <f>AND(#REF!,"AAAAADvvNow=")</f>
        <v>#REF!</v>
      </c>
      <c r="EL121" s="34" t="e">
        <f>AND(#REF!,"AAAAADvvNo0=")</f>
        <v>#REF!</v>
      </c>
      <c r="EM121" s="34" t="e">
        <f>AND(#REF!,"AAAAADvvNo4=")</f>
        <v>#REF!</v>
      </c>
      <c r="EN121" s="34" t="e">
        <f>AND(#REF!,"AAAAADvvNo8=")</f>
        <v>#REF!</v>
      </c>
      <c r="EO121" s="34" t="e">
        <f>AND(#REF!,"AAAAADvvNpA=")</f>
        <v>#REF!</v>
      </c>
      <c r="EP121" s="34" t="e">
        <f>AND(#REF!,"AAAAADvvNpE=")</f>
        <v>#REF!</v>
      </c>
      <c r="EQ121" s="34" t="e">
        <f>AND(#REF!,"AAAAADvvNpI=")</f>
        <v>#REF!</v>
      </c>
      <c r="ER121" s="34" t="e">
        <f>AND(#REF!,"AAAAADvvNpM=")</f>
        <v>#REF!</v>
      </c>
      <c r="ES121" s="34" t="e">
        <f>AND(#REF!,"AAAAADvvNpQ=")</f>
        <v>#REF!</v>
      </c>
      <c r="ET121" s="34" t="e">
        <f>AND(#REF!,"AAAAADvvNpU=")</f>
        <v>#REF!</v>
      </c>
      <c r="EU121" s="34" t="e">
        <f>AND(#REF!,"AAAAADvvNpY=")</f>
        <v>#REF!</v>
      </c>
      <c r="EV121" s="34" t="e">
        <f>AND(#REF!,"AAAAADvvNpc=")</f>
        <v>#REF!</v>
      </c>
      <c r="EW121" s="34" t="e">
        <f>AND(#REF!,"AAAAADvvNpg=")</f>
        <v>#REF!</v>
      </c>
      <c r="EX121" s="34" t="e">
        <f>AND(#REF!,"AAAAADvvNpk=")</f>
        <v>#REF!</v>
      </c>
      <c r="EY121" s="34" t="e">
        <f>AND(#REF!,"AAAAADvvNpo=")</f>
        <v>#REF!</v>
      </c>
      <c r="EZ121" s="34" t="e">
        <f>AND(#REF!,"AAAAADvvNps=")</f>
        <v>#REF!</v>
      </c>
      <c r="FA121" s="34" t="e">
        <f>IF(#REF!,"AAAAADvvNpw=",0)</f>
        <v>#REF!</v>
      </c>
      <c r="FB121" s="34" t="e">
        <f>AND(#REF!,"AAAAADvvNp0=")</f>
        <v>#REF!</v>
      </c>
      <c r="FC121" s="34" t="e">
        <f>AND(#REF!,"AAAAADvvNp4=")</f>
        <v>#REF!</v>
      </c>
      <c r="FD121" s="34" t="e">
        <f>AND(#REF!,"AAAAADvvNp8=")</f>
        <v>#REF!</v>
      </c>
      <c r="FE121" s="34" t="e">
        <f>AND(#REF!,"AAAAADvvNqA=")</f>
        <v>#REF!</v>
      </c>
      <c r="FF121" s="34" t="e">
        <f>AND(#REF!,"AAAAADvvNqE=")</f>
        <v>#REF!</v>
      </c>
      <c r="FG121" s="34" t="e">
        <f>AND(#REF!,"AAAAADvvNqI=")</f>
        <v>#REF!</v>
      </c>
      <c r="FH121" s="34" t="e">
        <f>AND(#REF!,"AAAAADvvNqM=")</f>
        <v>#REF!</v>
      </c>
      <c r="FI121" s="34" t="e">
        <f>AND(#REF!,"AAAAADvvNqQ=")</f>
        <v>#REF!</v>
      </c>
      <c r="FJ121" s="34" t="e">
        <f>AND(#REF!,"AAAAADvvNqU=")</f>
        <v>#REF!</v>
      </c>
      <c r="FK121" s="34" t="e">
        <f>AND(#REF!,"AAAAADvvNqY=")</f>
        <v>#REF!</v>
      </c>
      <c r="FL121" s="34" t="e">
        <f>AND(#REF!,"AAAAADvvNqc=")</f>
        <v>#REF!</v>
      </c>
      <c r="FM121" s="34" t="e">
        <f>AND(#REF!,"AAAAADvvNqg=")</f>
        <v>#REF!</v>
      </c>
      <c r="FN121" s="34" t="e">
        <f>AND(#REF!,"AAAAADvvNqk=")</f>
        <v>#REF!</v>
      </c>
      <c r="FO121" s="34" t="e">
        <f>AND(#REF!,"AAAAADvvNqo=")</f>
        <v>#REF!</v>
      </c>
      <c r="FP121" s="34" t="e">
        <f>AND(#REF!,"AAAAADvvNqs=")</f>
        <v>#REF!</v>
      </c>
      <c r="FQ121" s="34" t="e">
        <f>AND(#REF!,"AAAAADvvNqw=")</f>
        <v>#REF!</v>
      </c>
      <c r="FR121" s="34" t="e">
        <f>IF(#REF!,"AAAAADvvNq0=",0)</f>
        <v>#REF!</v>
      </c>
      <c r="FS121" s="34" t="e">
        <f>AND(#REF!,"AAAAADvvNq4=")</f>
        <v>#REF!</v>
      </c>
      <c r="FT121" s="34" t="e">
        <f>AND(#REF!,"AAAAADvvNq8=")</f>
        <v>#REF!</v>
      </c>
      <c r="FU121" s="34" t="e">
        <f>AND(#REF!,"AAAAADvvNrA=")</f>
        <v>#REF!</v>
      </c>
      <c r="FV121" s="34" t="e">
        <f>AND(#REF!,"AAAAADvvNrE=")</f>
        <v>#REF!</v>
      </c>
      <c r="FW121" s="34" t="e">
        <f>AND(#REF!,"AAAAADvvNrI=")</f>
        <v>#REF!</v>
      </c>
      <c r="FX121" s="34" t="e">
        <f>AND(#REF!,"AAAAADvvNrM=")</f>
        <v>#REF!</v>
      </c>
      <c r="FY121" s="34" t="e">
        <f>AND(#REF!,"AAAAADvvNrQ=")</f>
        <v>#REF!</v>
      </c>
      <c r="FZ121" s="34" t="e">
        <f>AND(#REF!,"AAAAADvvNrU=")</f>
        <v>#REF!</v>
      </c>
      <c r="GA121" s="34" t="e">
        <f>AND(#REF!,"AAAAADvvNrY=")</f>
        <v>#REF!</v>
      </c>
      <c r="GB121" s="34" t="e">
        <f>AND(#REF!,"AAAAADvvNrc=")</f>
        <v>#REF!</v>
      </c>
      <c r="GC121" s="34" t="e">
        <f>AND(#REF!,"AAAAADvvNrg=")</f>
        <v>#REF!</v>
      </c>
      <c r="GD121" s="34" t="e">
        <f>AND(#REF!,"AAAAADvvNrk=")</f>
        <v>#REF!</v>
      </c>
      <c r="GE121" s="34" t="e">
        <f>AND(#REF!,"AAAAADvvNro=")</f>
        <v>#REF!</v>
      </c>
      <c r="GF121" s="34" t="e">
        <f>AND(#REF!,"AAAAADvvNrs=")</f>
        <v>#REF!</v>
      </c>
      <c r="GG121" s="34" t="e">
        <f>AND(#REF!,"AAAAADvvNrw=")</f>
        <v>#REF!</v>
      </c>
      <c r="GH121" s="34" t="e">
        <f>AND(#REF!,"AAAAADvvNr0=")</f>
        <v>#REF!</v>
      </c>
      <c r="GI121" s="34" t="e">
        <f>IF(#REF!,"AAAAADvvNr4=",0)</f>
        <v>#REF!</v>
      </c>
      <c r="GJ121" s="34" t="e">
        <f>AND(#REF!,"AAAAADvvNr8=")</f>
        <v>#REF!</v>
      </c>
      <c r="GK121" s="34" t="e">
        <f>AND(#REF!,"AAAAADvvNsA=")</f>
        <v>#REF!</v>
      </c>
      <c r="GL121" s="34" t="e">
        <f>AND(#REF!,"AAAAADvvNsE=")</f>
        <v>#REF!</v>
      </c>
      <c r="GM121" s="34" t="e">
        <f>AND(#REF!,"AAAAADvvNsI=")</f>
        <v>#REF!</v>
      </c>
      <c r="GN121" s="34" t="e">
        <f>AND(#REF!,"AAAAADvvNsM=")</f>
        <v>#REF!</v>
      </c>
      <c r="GO121" s="34" t="e">
        <f>AND(#REF!,"AAAAADvvNsQ=")</f>
        <v>#REF!</v>
      </c>
      <c r="GP121" s="34" t="e">
        <f>AND(#REF!,"AAAAADvvNsU=")</f>
        <v>#REF!</v>
      </c>
      <c r="GQ121" s="34" t="e">
        <f>AND(#REF!,"AAAAADvvNsY=")</f>
        <v>#REF!</v>
      </c>
      <c r="GR121" s="34" t="e">
        <f>AND(#REF!,"AAAAADvvNsc=")</f>
        <v>#REF!</v>
      </c>
      <c r="GS121" s="34" t="e">
        <f>AND(#REF!,"AAAAADvvNsg=")</f>
        <v>#REF!</v>
      </c>
      <c r="GT121" s="34" t="e">
        <f>AND(#REF!,"AAAAADvvNsk=")</f>
        <v>#REF!</v>
      </c>
      <c r="GU121" s="34" t="e">
        <f>AND(#REF!,"AAAAADvvNso=")</f>
        <v>#REF!</v>
      </c>
      <c r="GV121" s="34" t="e">
        <f>AND(#REF!,"AAAAADvvNss=")</f>
        <v>#REF!</v>
      </c>
      <c r="GW121" s="34" t="e">
        <f>AND(#REF!,"AAAAADvvNsw=")</f>
        <v>#REF!</v>
      </c>
      <c r="GX121" s="34" t="e">
        <f>AND(#REF!,"AAAAADvvNs0=")</f>
        <v>#REF!</v>
      </c>
      <c r="GY121" s="34" t="e">
        <f>AND(#REF!,"AAAAADvvNs4=")</f>
        <v>#REF!</v>
      </c>
      <c r="GZ121" s="34" t="e">
        <f>IF(#REF!,"AAAAADvvNs8=",0)</f>
        <v>#REF!</v>
      </c>
      <c r="HA121" s="34" t="e">
        <f>AND(#REF!,"AAAAADvvNtA=")</f>
        <v>#REF!</v>
      </c>
      <c r="HB121" s="34" t="e">
        <f>AND(#REF!,"AAAAADvvNtE=")</f>
        <v>#REF!</v>
      </c>
      <c r="HC121" s="34" t="e">
        <f>AND(#REF!,"AAAAADvvNtI=")</f>
        <v>#REF!</v>
      </c>
      <c r="HD121" s="34" t="e">
        <f>AND(#REF!,"AAAAADvvNtM=")</f>
        <v>#REF!</v>
      </c>
      <c r="HE121" s="34" t="e">
        <f>AND(#REF!,"AAAAADvvNtQ=")</f>
        <v>#REF!</v>
      </c>
      <c r="HF121" s="34" t="e">
        <f>AND(#REF!,"AAAAADvvNtU=")</f>
        <v>#REF!</v>
      </c>
      <c r="HG121" s="34" t="e">
        <f>AND(#REF!,"AAAAADvvNtY=")</f>
        <v>#REF!</v>
      </c>
      <c r="HH121" s="34" t="e">
        <f>AND(#REF!,"AAAAADvvNtc=")</f>
        <v>#REF!</v>
      </c>
      <c r="HI121" s="34" t="e">
        <f>AND(#REF!,"AAAAADvvNtg=")</f>
        <v>#REF!</v>
      </c>
      <c r="HJ121" s="34" t="e">
        <f>AND(#REF!,"AAAAADvvNtk=")</f>
        <v>#REF!</v>
      </c>
      <c r="HK121" s="34" t="e">
        <f>AND(#REF!,"AAAAADvvNto=")</f>
        <v>#REF!</v>
      </c>
      <c r="HL121" s="34" t="e">
        <f>AND(#REF!,"AAAAADvvNts=")</f>
        <v>#REF!</v>
      </c>
      <c r="HM121" s="34" t="e">
        <f>AND(#REF!,"AAAAADvvNtw=")</f>
        <v>#REF!</v>
      </c>
      <c r="HN121" s="34" t="e">
        <f>AND(#REF!,"AAAAADvvNt0=")</f>
        <v>#REF!</v>
      </c>
      <c r="HO121" s="34" t="e">
        <f>AND(#REF!,"AAAAADvvNt4=")</f>
        <v>#REF!</v>
      </c>
      <c r="HP121" s="34" t="e">
        <f>AND(#REF!,"AAAAADvvNt8=")</f>
        <v>#REF!</v>
      </c>
      <c r="HQ121" s="34" t="e">
        <f>IF(#REF!,"AAAAADvvNuA=",0)</f>
        <v>#REF!</v>
      </c>
      <c r="HR121" s="34" t="e">
        <f>AND(#REF!,"AAAAADvvNuE=")</f>
        <v>#REF!</v>
      </c>
      <c r="HS121" s="34" t="e">
        <f>AND(#REF!,"AAAAADvvNuI=")</f>
        <v>#REF!</v>
      </c>
      <c r="HT121" s="34" t="e">
        <f>AND(#REF!,"AAAAADvvNuM=")</f>
        <v>#REF!</v>
      </c>
      <c r="HU121" s="34" t="e">
        <f>AND(#REF!,"AAAAADvvNuQ=")</f>
        <v>#REF!</v>
      </c>
      <c r="HV121" s="34" t="e">
        <f>AND(#REF!,"AAAAADvvNuU=")</f>
        <v>#REF!</v>
      </c>
      <c r="HW121" s="34" t="e">
        <f>AND(#REF!,"AAAAADvvNuY=")</f>
        <v>#REF!</v>
      </c>
      <c r="HX121" s="34" t="e">
        <f>AND(#REF!,"AAAAADvvNuc=")</f>
        <v>#REF!</v>
      </c>
      <c r="HY121" s="34" t="e">
        <f>AND(#REF!,"AAAAADvvNug=")</f>
        <v>#REF!</v>
      </c>
      <c r="HZ121" s="34" t="e">
        <f>AND(#REF!,"AAAAADvvNuk=")</f>
        <v>#REF!</v>
      </c>
      <c r="IA121" s="34" t="e">
        <f>AND(#REF!,"AAAAADvvNuo=")</f>
        <v>#REF!</v>
      </c>
      <c r="IB121" s="34" t="e">
        <f>AND(#REF!,"AAAAADvvNus=")</f>
        <v>#REF!</v>
      </c>
      <c r="IC121" s="34" t="e">
        <f>AND(#REF!,"AAAAADvvNuw=")</f>
        <v>#REF!</v>
      </c>
      <c r="ID121" s="34" t="e">
        <f>AND(#REF!,"AAAAADvvNu0=")</f>
        <v>#REF!</v>
      </c>
      <c r="IE121" s="34" t="e">
        <f>AND(#REF!,"AAAAADvvNu4=")</f>
        <v>#REF!</v>
      </c>
      <c r="IF121" s="34" t="e">
        <f>AND(#REF!,"AAAAADvvNu8=")</f>
        <v>#REF!</v>
      </c>
      <c r="IG121" s="34" t="e">
        <f>AND(#REF!,"AAAAADvvNvA=")</f>
        <v>#REF!</v>
      </c>
      <c r="IH121" s="34" t="e">
        <f>IF(#REF!,"AAAAADvvNvE=",0)</f>
        <v>#REF!</v>
      </c>
      <c r="II121" s="34" t="e">
        <f>AND(#REF!,"AAAAADvvNvI=")</f>
        <v>#REF!</v>
      </c>
      <c r="IJ121" s="34" t="e">
        <f>AND(#REF!,"AAAAADvvNvM=")</f>
        <v>#REF!</v>
      </c>
      <c r="IK121" s="34" t="e">
        <f>AND(#REF!,"AAAAADvvNvQ=")</f>
        <v>#REF!</v>
      </c>
      <c r="IL121" s="34" t="e">
        <f>AND(#REF!,"AAAAADvvNvU=")</f>
        <v>#REF!</v>
      </c>
      <c r="IM121" s="34" t="e">
        <f>AND(#REF!,"AAAAADvvNvY=")</f>
        <v>#REF!</v>
      </c>
      <c r="IN121" s="34" t="e">
        <f>AND(#REF!,"AAAAADvvNvc=")</f>
        <v>#REF!</v>
      </c>
      <c r="IO121" s="34" t="e">
        <f>AND(#REF!,"AAAAADvvNvg=")</f>
        <v>#REF!</v>
      </c>
      <c r="IP121" s="34" t="e">
        <f>AND(#REF!,"AAAAADvvNvk=")</f>
        <v>#REF!</v>
      </c>
      <c r="IQ121" s="34" t="e">
        <f>AND(#REF!,"AAAAADvvNvo=")</f>
        <v>#REF!</v>
      </c>
      <c r="IR121" s="34" t="e">
        <f>AND(#REF!,"AAAAADvvNvs=")</f>
        <v>#REF!</v>
      </c>
      <c r="IS121" s="34" t="e">
        <f>AND(#REF!,"AAAAADvvNvw=")</f>
        <v>#REF!</v>
      </c>
      <c r="IT121" s="34" t="e">
        <f>AND(#REF!,"AAAAADvvNv0=")</f>
        <v>#REF!</v>
      </c>
      <c r="IU121" s="34" t="e">
        <f>AND(#REF!,"AAAAADvvNv4=")</f>
        <v>#REF!</v>
      </c>
      <c r="IV121" s="34" t="e">
        <f>AND(#REF!,"AAAAADvvNv8=")</f>
        <v>#REF!</v>
      </c>
    </row>
    <row r="122" spans="1:256" ht="12.75" customHeight="1" x14ac:dyDescent="0.2">
      <c r="A122" s="34" t="e">
        <f>AND(#REF!,"AAAAAHf9ZwA=")</f>
        <v>#REF!</v>
      </c>
      <c r="B122" s="34" t="e">
        <f>AND(#REF!,"AAAAAHf9ZwE=")</f>
        <v>#REF!</v>
      </c>
      <c r="C122" s="34" t="e">
        <f>IF(#REF!,"AAAAAHf9ZwI=",0)</f>
        <v>#REF!</v>
      </c>
      <c r="D122" s="34" t="e">
        <f>AND(#REF!,"AAAAAHf9ZwM=")</f>
        <v>#REF!</v>
      </c>
      <c r="E122" s="34" t="e">
        <f>AND(#REF!,"AAAAAHf9ZwQ=")</f>
        <v>#REF!</v>
      </c>
      <c r="F122" s="34" t="e">
        <f>AND(#REF!,"AAAAAHf9ZwU=")</f>
        <v>#REF!</v>
      </c>
      <c r="G122" s="34" t="e">
        <f>AND(#REF!,"AAAAAHf9ZwY=")</f>
        <v>#REF!</v>
      </c>
      <c r="H122" s="34" t="e">
        <f>AND(#REF!,"AAAAAHf9Zwc=")</f>
        <v>#REF!</v>
      </c>
      <c r="I122" s="34" t="e">
        <f>AND(#REF!,"AAAAAHf9Zwg=")</f>
        <v>#REF!</v>
      </c>
      <c r="J122" s="34" t="e">
        <f>AND(#REF!,"AAAAAHf9Zwk=")</f>
        <v>#REF!</v>
      </c>
      <c r="K122" s="34" t="e">
        <f>AND(#REF!,"AAAAAHf9Zwo=")</f>
        <v>#REF!</v>
      </c>
      <c r="L122" s="34" t="e">
        <f>AND(#REF!,"AAAAAHf9Zws=")</f>
        <v>#REF!</v>
      </c>
      <c r="M122" s="34" t="e">
        <f>AND(#REF!,"AAAAAHf9Zww=")</f>
        <v>#REF!</v>
      </c>
      <c r="N122" s="34" t="e">
        <f>AND(#REF!,"AAAAAHf9Zw0=")</f>
        <v>#REF!</v>
      </c>
      <c r="O122" s="34" t="e">
        <f>AND(#REF!,"AAAAAHf9Zw4=")</f>
        <v>#REF!</v>
      </c>
      <c r="P122" s="34" t="e">
        <f>AND(#REF!,"AAAAAHf9Zw8=")</f>
        <v>#REF!</v>
      </c>
      <c r="Q122" s="34" t="e">
        <f>AND(#REF!,"AAAAAHf9ZxA=")</f>
        <v>#REF!</v>
      </c>
      <c r="R122" s="34" t="e">
        <f>AND(#REF!,"AAAAAHf9ZxE=")</f>
        <v>#REF!</v>
      </c>
      <c r="S122" s="34" t="e">
        <f>AND(#REF!,"AAAAAHf9ZxI=")</f>
        <v>#REF!</v>
      </c>
      <c r="T122" s="34" t="e">
        <f>IF(#REF!,"AAAAAHf9ZxM=",0)</f>
        <v>#REF!</v>
      </c>
      <c r="U122" s="34" t="e">
        <f>AND(#REF!,"AAAAAHf9ZxQ=")</f>
        <v>#REF!</v>
      </c>
      <c r="V122" s="34" t="e">
        <f>AND(#REF!,"AAAAAHf9ZxU=")</f>
        <v>#REF!</v>
      </c>
      <c r="W122" s="34" t="e">
        <f>AND(#REF!,"AAAAAHf9ZxY=")</f>
        <v>#REF!</v>
      </c>
      <c r="X122" s="34" t="e">
        <f>AND(#REF!,"AAAAAHf9Zxc=")</f>
        <v>#REF!</v>
      </c>
      <c r="Y122" s="34" t="e">
        <f>AND(#REF!,"AAAAAHf9Zxg=")</f>
        <v>#REF!</v>
      </c>
      <c r="Z122" s="34" t="e">
        <f>AND(#REF!,"AAAAAHf9Zxk=")</f>
        <v>#REF!</v>
      </c>
      <c r="AA122" s="34" t="e">
        <f>AND(#REF!,"AAAAAHf9Zxo=")</f>
        <v>#REF!</v>
      </c>
      <c r="AB122" s="34" t="e">
        <f>AND(#REF!,"AAAAAHf9Zxs=")</f>
        <v>#REF!</v>
      </c>
      <c r="AC122" s="34" t="e">
        <f>AND(#REF!,"AAAAAHf9Zxw=")</f>
        <v>#REF!</v>
      </c>
      <c r="AD122" s="34" t="e">
        <f>AND(#REF!,"AAAAAHf9Zx0=")</f>
        <v>#REF!</v>
      </c>
      <c r="AE122" s="34" t="e">
        <f>AND(#REF!,"AAAAAHf9Zx4=")</f>
        <v>#REF!</v>
      </c>
      <c r="AF122" s="34" t="e">
        <f>AND(#REF!,"AAAAAHf9Zx8=")</f>
        <v>#REF!</v>
      </c>
      <c r="AG122" s="34" t="e">
        <f>AND(#REF!,"AAAAAHf9ZyA=")</f>
        <v>#REF!</v>
      </c>
      <c r="AH122" s="34" t="e">
        <f>AND(#REF!,"AAAAAHf9ZyE=")</f>
        <v>#REF!</v>
      </c>
      <c r="AI122" s="34" t="e">
        <f>AND(#REF!,"AAAAAHf9ZyI=")</f>
        <v>#REF!</v>
      </c>
      <c r="AJ122" s="34" t="e">
        <f>AND(#REF!,"AAAAAHf9ZyM=")</f>
        <v>#REF!</v>
      </c>
      <c r="AK122" s="34" t="e">
        <f>IF(#REF!,"AAAAAHf9ZyQ=",0)</f>
        <v>#REF!</v>
      </c>
      <c r="AL122" s="34" t="e">
        <f>AND(#REF!,"AAAAAHf9ZyU=")</f>
        <v>#REF!</v>
      </c>
      <c r="AM122" s="34" t="e">
        <f>AND(#REF!,"AAAAAHf9ZyY=")</f>
        <v>#REF!</v>
      </c>
      <c r="AN122" s="34" t="e">
        <f>AND(#REF!,"AAAAAHf9Zyc=")</f>
        <v>#REF!</v>
      </c>
      <c r="AO122" s="34" t="e">
        <f>AND(#REF!,"AAAAAHf9Zyg=")</f>
        <v>#REF!</v>
      </c>
      <c r="AP122" s="34" t="e">
        <f>AND(#REF!,"AAAAAHf9Zyk=")</f>
        <v>#REF!</v>
      </c>
      <c r="AQ122" s="34" t="e">
        <f>AND(#REF!,"AAAAAHf9Zyo=")</f>
        <v>#REF!</v>
      </c>
      <c r="AR122" s="34" t="e">
        <f>AND(#REF!,"AAAAAHf9Zys=")</f>
        <v>#REF!</v>
      </c>
      <c r="AS122" s="34" t="e">
        <f>AND(#REF!,"AAAAAHf9Zyw=")</f>
        <v>#REF!</v>
      </c>
      <c r="AT122" s="34" t="e">
        <f>AND(#REF!,"AAAAAHf9Zy0=")</f>
        <v>#REF!</v>
      </c>
      <c r="AU122" s="34" t="e">
        <f>AND(#REF!,"AAAAAHf9Zy4=")</f>
        <v>#REF!</v>
      </c>
      <c r="AV122" s="34" t="e">
        <f>AND(#REF!,"AAAAAHf9Zy8=")</f>
        <v>#REF!</v>
      </c>
      <c r="AW122" s="34" t="e">
        <f>AND(#REF!,"AAAAAHf9ZzA=")</f>
        <v>#REF!</v>
      </c>
      <c r="AX122" s="34" t="e">
        <f>AND(#REF!,"AAAAAHf9ZzE=")</f>
        <v>#REF!</v>
      </c>
      <c r="AY122" s="34" t="e">
        <f>AND(#REF!,"AAAAAHf9ZzI=")</f>
        <v>#REF!</v>
      </c>
      <c r="AZ122" s="34" t="e">
        <f>AND(#REF!,"AAAAAHf9ZzM=")</f>
        <v>#REF!</v>
      </c>
      <c r="BA122" s="34" t="e">
        <f>AND(#REF!,"AAAAAHf9ZzQ=")</f>
        <v>#REF!</v>
      </c>
      <c r="BB122" s="34" t="e">
        <f>IF(#REF!,"AAAAAHf9ZzU=",0)</f>
        <v>#REF!</v>
      </c>
      <c r="BC122" s="34" t="e">
        <f>AND(#REF!,"AAAAAHf9ZzY=")</f>
        <v>#REF!</v>
      </c>
      <c r="BD122" s="34" t="e">
        <f>AND(#REF!,"AAAAAHf9Zzc=")</f>
        <v>#REF!</v>
      </c>
      <c r="BE122" s="34" t="e">
        <f>AND(#REF!,"AAAAAHf9Zzg=")</f>
        <v>#REF!</v>
      </c>
      <c r="BF122" s="34" t="e">
        <f>AND(#REF!,"AAAAAHf9Zzk=")</f>
        <v>#REF!</v>
      </c>
      <c r="BG122" s="34" t="e">
        <f>AND(#REF!,"AAAAAHf9Zzo=")</f>
        <v>#REF!</v>
      </c>
      <c r="BH122" s="34" t="e">
        <f>AND(#REF!,"AAAAAHf9Zzs=")</f>
        <v>#REF!</v>
      </c>
      <c r="BI122" s="34" t="e">
        <f>AND(#REF!,"AAAAAHf9Zzw=")</f>
        <v>#REF!</v>
      </c>
      <c r="BJ122" s="34" t="e">
        <f>AND(#REF!,"AAAAAHf9Zz0=")</f>
        <v>#REF!</v>
      </c>
      <c r="BK122" s="34" t="e">
        <f>AND(#REF!,"AAAAAHf9Zz4=")</f>
        <v>#REF!</v>
      </c>
      <c r="BL122" s="34" t="e">
        <f>AND(#REF!,"AAAAAHf9Zz8=")</f>
        <v>#REF!</v>
      </c>
      <c r="BM122" s="34" t="e">
        <f>AND(#REF!,"AAAAAHf9Z0A=")</f>
        <v>#REF!</v>
      </c>
      <c r="BN122" s="34" t="e">
        <f>AND(#REF!,"AAAAAHf9Z0E=")</f>
        <v>#REF!</v>
      </c>
      <c r="BO122" s="34" t="e">
        <f>AND(#REF!,"AAAAAHf9Z0I=")</f>
        <v>#REF!</v>
      </c>
      <c r="BP122" s="34" t="e">
        <f>AND(#REF!,"AAAAAHf9Z0M=")</f>
        <v>#REF!</v>
      </c>
      <c r="BQ122" s="34" t="e">
        <f>AND(#REF!,"AAAAAHf9Z0Q=")</f>
        <v>#REF!</v>
      </c>
      <c r="BR122" s="34" t="e">
        <f>AND(#REF!,"AAAAAHf9Z0U=")</f>
        <v>#REF!</v>
      </c>
      <c r="BS122" s="34" t="e">
        <f>IF(#REF!,"AAAAAHf9Z0Y=",0)</f>
        <v>#REF!</v>
      </c>
      <c r="BT122" s="34" t="e">
        <f>AND(#REF!,"AAAAAHf9Z0c=")</f>
        <v>#REF!</v>
      </c>
      <c r="BU122" s="34" t="e">
        <f>AND(#REF!,"AAAAAHf9Z0g=")</f>
        <v>#REF!</v>
      </c>
      <c r="BV122" s="34" t="e">
        <f>AND(#REF!,"AAAAAHf9Z0k=")</f>
        <v>#REF!</v>
      </c>
      <c r="BW122" s="34" t="e">
        <f>AND(#REF!,"AAAAAHf9Z0o=")</f>
        <v>#REF!</v>
      </c>
      <c r="BX122" s="34" t="e">
        <f>AND(#REF!,"AAAAAHf9Z0s=")</f>
        <v>#REF!</v>
      </c>
      <c r="BY122" s="34" t="e">
        <f>AND(#REF!,"AAAAAHf9Z0w=")</f>
        <v>#REF!</v>
      </c>
      <c r="BZ122" s="34" t="e">
        <f>AND(#REF!,"AAAAAHf9Z00=")</f>
        <v>#REF!</v>
      </c>
      <c r="CA122" s="34" t="e">
        <f>AND(#REF!,"AAAAAHf9Z04=")</f>
        <v>#REF!</v>
      </c>
      <c r="CB122" s="34" t="e">
        <f>AND(#REF!,"AAAAAHf9Z08=")</f>
        <v>#REF!</v>
      </c>
      <c r="CC122" s="34" t="e">
        <f>AND(#REF!,"AAAAAHf9Z1A=")</f>
        <v>#REF!</v>
      </c>
      <c r="CD122" s="34" t="e">
        <f>AND(#REF!,"AAAAAHf9Z1E=")</f>
        <v>#REF!</v>
      </c>
      <c r="CE122" s="34" t="e">
        <f>AND(#REF!,"AAAAAHf9Z1I=")</f>
        <v>#REF!</v>
      </c>
      <c r="CF122" s="34" t="e">
        <f>AND(#REF!,"AAAAAHf9Z1M=")</f>
        <v>#REF!</v>
      </c>
      <c r="CG122" s="34" t="e">
        <f>AND(#REF!,"AAAAAHf9Z1Q=")</f>
        <v>#REF!</v>
      </c>
      <c r="CH122" s="34" t="e">
        <f>AND(#REF!,"AAAAAHf9Z1U=")</f>
        <v>#REF!</v>
      </c>
      <c r="CI122" s="34" t="e">
        <f>AND(#REF!,"AAAAAHf9Z1Y=")</f>
        <v>#REF!</v>
      </c>
      <c r="CJ122" s="34" t="e">
        <f>IF(#REF!,"AAAAAHf9Z1c=",0)</f>
        <v>#REF!</v>
      </c>
      <c r="CK122" s="34" t="e">
        <f>AND(#REF!,"AAAAAHf9Z1g=")</f>
        <v>#REF!</v>
      </c>
      <c r="CL122" s="34" t="e">
        <f>AND(#REF!,"AAAAAHf9Z1k=")</f>
        <v>#REF!</v>
      </c>
      <c r="CM122" s="34" t="e">
        <f>AND(#REF!,"AAAAAHf9Z1o=")</f>
        <v>#REF!</v>
      </c>
      <c r="CN122" s="34" t="e">
        <f>AND(#REF!,"AAAAAHf9Z1s=")</f>
        <v>#REF!</v>
      </c>
      <c r="CO122" s="34" t="e">
        <f>AND(#REF!,"AAAAAHf9Z1w=")</f>
        <v>#REF!</v>
      </c>
      <c r="CP122" s="34" t="e">
        <f>AND(#REF!,"AAAAAHf9Z10=")</f>
        <v>#REF!</v>
      </c>
      <c r="CQ122" s="34" t="e">
        <f>AND(#REF!,"AAAAAHf9Z14=")</f>
        <v>#REF!</v>
      </c>
      <c r="CR122" s="34" t="e">
        <f>AND(#REF!,"AAAAAHf9Z18=")</f>
        <v>#REF!</v>
      </c>
      <c r="CS122" s="34" t="e">
        <f>AND(#REF!,"AAAAAHf9Z2A=")</f>
        <v>#REF!</v>
      </c>
      <c r="CT122" s="34" t="e">
        <f>AND(#REF!,"AAAAAHf9Z2E=")</f>
        <v>#REF!</v>
      </c>
      <c r="CU122" s="34" t="e">
        <f>AND(#REF!,"AAAAAHf9Z2I=")</f>
        <v>#REF!</v>
      </c>
      <c r="CV122" s="34" t="e">
        <f>AND(#REF!,"AAAAAHf9Z2M=")</f>
        <v>#REF!</v>
      </c>
      <c r="CW122" s="34" t="e">
        <f>AND(#REF!,"AAAAAHf9Z2Q=")</f>
        <v>#REF!</v>
      </c>
      <c r="CX122" s="34" t="e">
        <f>AND(#REF!,"AAAAAHf9Z2U=")</f>
        <v>#REF!</v>
      </c>
      <c r="CY122" s="34" t="e">
        <f>AND(#REF!,"AAAAAHf9Z2Y=")</f>
        <v>#REF!</v>
      </c>
      <c r="CZ122" s="34" t="e">
        <f>AND(#REF!,"AAAAAHf9Z2c=")</f>
        <v>#REF!</v>
      </c>
      <c r="DA122" s="34" t="e">
        <f>IF(#REF!,"AAAAAHf9Z2g=",0)</f>
        <v>#REF!</v>
      </c>
      <c r="DB122" s="34" t="e">
        <f>AND(#REF!,"AAAAAHf9Z2k=")</f>
        <v>#REF!</v>
      </c>
      <c r="DC122" s="34" t="e">
        <f>AND(#REF!,"AAAAAHf9Z2o=")</f>
        <v>#REF!</v>
      </c>
      <c r="DD122" s="34" t="e">
        <f>AND(#REF!,"AAAAAHf9Z2s=")</f>
        <v>#REF!</v>
      </c>
      <c r="DE122" s="34" t="e">
        <f>AND(#REF!,"AAAAAHf9Z2w=")</f>
        <v>#REF!</v>
      </c>
      <c r="DF122" s="34" t="e">
        <f>AND(#REF!,"AAAAAHf9Z20=")</f>
        <v>#REF!</v>
      </c>
      <c r="DG122" s="34" t="e">
        <f>AND(#REF!,"AAAAAHf9Z24=")</f>
        <v>#REF!</v>
      </c>
      <c r="DH122" s="34" t="e">
        <f>AND(#REF!,"AAAAAHf9Z28=")</f>
        <v>#REF!</v>
      </c>
      <c r="DI122" s="34" t="e">
        <f>AND(#REF!,"AAAAAHf9Z3A=")</f>
        <v>#REF!</v>
      </c>
      <c r="DJ122" s="34" t="e">
        <f>AND(#REF!,"AAAAAHf9Z3E=")</f>
        <v>#REF!</v>
      </c>
      <c r="DK122" s="34" t="e">
        <f>AND(#REF!,"AAAAAHf9Z3I=")</f>
        <v>#REF!</v>
      </c>
      <c r="DL122" s="34" t="e">
        <f>AND(#REF!,"AAAAAHf9Z3M=")</f>
        <v>#REF!</v>
      </c>
      <c r="DM122" s="34" t="e">
        <f>AND(#REF!,"AAAAAHf9Z3Q=")</f>
        <v>#REF!</v>
      </c>
      <c r="DN122" s="34" t="e">
        <f>AND(#REF!,"AAAAAHf9Z3U=")</f>
        <v>#REF!</v>
      </c>
      <c r="DO122" s="34" t="e">
        <f>AND(#REF!,"AAAAAHf9Z3Y=")</f>
        <v>#REF!</v>
      </c>
      <c r="DP122" s="34" t="e">
        <f>AND(#REF!,"AAAAAHf9Z3c=")</f>
        <v>#REF!</v>
      </c>
      <c r="DQ122" s="34" t="e">
        <f>AND(#REF!,"AAAAAHf9Z3g=")</f>
        <v>#REF!</v>
      </c>
      <c r="DR122" s="34" t="e">
        <f>IF(#REF!,"AAAAAHf9Z3k=",0)</f>
        <v>#REF!</v>
      </c>
      <c r="DS122" s="34" t="e">
        <f>AND(#REF!,"AAAAAHf9Z3o=")</f>
        <v>#REF!</v>
      </c>
      <c r="DT122" s="34" t="e">
        <f>AND(#REF!,"AAAAAHf9Z3s=")</f>
        <v>#REF!</v>
      </c>
      <c r="DU122" s="34" t="e">
        <f>AND(#REF!,"AAAAAHf9Z3w=")</f>
        <v>#REF!</v>
      </c>
      <c r="DV122" s="34" t="e">
        <f>AND(#REF!,"AAAAAHf9Z30=")</f>
        <v>#REF!</v>
      </c>
      <c r="DW122" s="34" t="e">
        <f>AND(#REF!,"AAAAAHf9Z34=")</f>
        <v>#REF!</v>
      </c>
      <c r="DX122" s="34" t="e">
        <f>AND(#REF!,"AAAAAHf9Z38=")</f>
        <v>#REF!</v>
      </c>
      <c r="DY122" s="34" t="e">
        <f>AND(#REF!,"AAAAAHf9Z4A=")</f>
        <v>#REF!</v>
      </c>
      <c r="DZ122" s="34" t="e">
        <f>AND(#REF!,"AAAAAHf9Z4E=")</f>
        <v>#REF!</v>
      </c>
      <c r="EA122" s="34" t="e">
        <f>AND(#REF!,"AAAAAHf9Z4I=")</f>
        <v>#REF!</v>
      </c>
      <c r="EB122" s="34" t="e">
        <f>AND(#REF!,"AAAAAHf9Z4M=")</f>
        <v>#REF!</v>
      </c>
      <c r="EC122" s="34" t="e">
        <f>AND(#REF!,"AAAAAHf9Z4Q=")</f>
        <v>#REF!</v>
      </c>
      <c r="ED122" s="34" t="e">
        <f>AND(#REF!,"AAAAAHf9Z4U=")</f>
        <v>#REF!</v>
      </c>
      <c r="EE122" s="34" t="e">
        <f>AND(#REF!,"AAAAAHf9Z4Y=")</f>
        <v>#REF!</v>
      </c>
      <c r="EF122" s="34" t="e">
        <f>AND(#REF!,"AAAAAHf9Z4c=")</f>
        <v>#REF!</v>
      </c>
      <c r="EG122" s="34" t="e">
        <f>AND(#REF!,"AAAAAHf9Z4g=")</f>
        <v>#REF!</v>
      </c>
      <c r="EH122" s="34" t="e">
        <f>AND(#REF!,"AAAAAHf9Z4k=")</f>
        <v>#REF!</v>
      </c>
      <c r="EI122" s="34" t="e">
        <f>IF(#REF!,"AAAAAHf9Z4o=",0)</f>
        <v>#REF!</v>
      </c>
      <c r="EJ122" s="34" t="e">
        <f>AND(#REF!,"AAAAAHf9Z4s=")</f>
        <v>#REF!</v>
      </c>
      <c r="EK122" s="34" t="e">
        <f>AND(#REF!,"AAAAAHf9Z4w=")</f>
        <v>#REF!</v>
      </c>
      <c r="EL122" s="34" t="e">
        <f>AND(#REF!,"AAAAAHf9Z40=")</f>
        <v>#REF!</v>
      </c>
      <c r="EM122" s="34" t="e">
        <f>AND(#REF!,"AAAAAHf9Z44=")</f>
        <v>#REF!</v>
      </c>
      <c r="EN122" s="34" t="e">
        <f>AND(#REF!,"AAAAAHf9Z48=")</f>
        <v>#REF!</v>
      </c>
      <c r="EO122" s="34" t="e">
        <f>AND(#REF!,"AAAAAHf9Z5A=")</f>
        <v>#REF!</v>
      </c>
      <c r="EP122" s="34" t="e">
        <f>AND(#REF!,"AAAAAHf9Z5E=")</f>
        <v>#REF!</v>
      </c>
      <c r="EQ122" s="34" t="e">
        <f>AND(#REF!,"AAAAAHf9Z5I=")</f>
        <v>#REF!</v>
      </c>
      <c r="ER122" s="34" t="e">
        <f>AND(#REF!,"AAAAAHf9Z5M=")</f>
        <v>#REF!</v>
      </c>
      <c r="ES122" s="34" t="e">
        <f>AND(#REF!,"AAAAAHf9Z5Q=")</f>
        <v>#REF!</v>
      </c>
      <c r="ET122" s="34" t="e">
        <f>AND(#REF!,"AAAAAHf9Z5U=")</f>
        <v>#REF!</v>
      </c>
      <c r="EU122" s="34" t="e">
        <f>AND(#REF!,"AAAAAHf9Z5Y=")</f>
        <v>#REF!</v>
      </c>
      <c r="EV122" s="34" t="e">
        <f>AND(#REF!,"AAAAAHf9Z5c=")</f>
        <v>#REF!</v>
      </c>
      <c r="EW122" s="34" t="e">
        <f>AND(#REF!,"AAAAAHf9Z5g=")</f>
        <v>#REF!</v>
      </c>
      <c r="EX122" s="34" t="e">
        <f>AND(#REF!,"AAAAAHf9Z5k=")</f>
        <v>#REF!</v>
      </c>
      <c r="EY122" s="34" t="e">
        <f>AND(#REF!,"AAAAAHf9Z5o=")</f>
        <v>#REF!</v>
      </c>
      <c r="EZ122" s="34" t="e">
        <f>IF(#REF!,"AAAAAHf9Z5s=",0)</f>
        <v>#REF!</v>
      </c>
      <c r="FA122" s="34" t="e">
        <f>AND(#REF!,"AAAAAHf9Z5w=")</f>
        <v>#REF!</v>
      </c>
      <c r="FB122" s="34" t="e">
        <f>AND(#REF!,"AAAAAHf9Z50=")</f>
        <v>#REF!</v>
      </c>
      <c r="FC122" s="34" t="e">
        <f>AND(#REF!,"AAAAAHf9Z54=")</f>
        <v>#REF!</v>
      </c>
      <c r="FD122" s="34" t="e">
        <f>AND(#REF!,"AAAAAHf9Z58=")</f>
        <v>#REF!</v>
      </c>
      <c r="FE122" s="34" t="e">
        <f>AND(#REF!,"AAAAAHf9Z6A=")</f>
        <v>#REF!</v>
      </c>
      <c r="FF122" s="34" t="e">
        <f>AND(#REF!,"AAAAAHf9Z6E=")</f>
        <v>#REF!</v>
      </c>
      <c r="FG122" s="34" t="e">
        <f>AND(#REF!,"AAAAAHf9Z6I=")</f>
        <v>#REF!</v>
      </c>
      <c r="FH122" s="34" t="e">
        <f>AND(#REF!,"AAAAAHf9Z6M=")</f>
        <v>#REF!</v>
      </c>
      <c r="FI122" s="34" t="e">
        <f>AND(#REF!,"AAAAAHf9Z6Q=")</f>
        <v>#REF!</v>
      </c>
      <c r="FJ122" s="34" t="e">
        <f>AND(#REF!,"AAAAAHf9Z6U=")</f>
        <v>#REF!</v>
      </c>
      <c r="FK122" s="34" t="e">
        <f>AND(#REF!,"AAAAAHf9Z6Y=")</f>
        <v>#REF!</v>
      </c>
      <c r="FL122" s="34" t="e">
        <f>AND(#REF!,"AAAAAHf9Z6c=")</f>
        <v>#REF!</v>
      </c>
      <c r="FM122" s="34" t="e">
        <f>AND(#REF!,"AAAAAHf9Z6g=")</f>
        <v>#REF!</v>
      </c>
      <c r="FN122" s="34" t="e">
        <f>AND(#REF!,"AAAAAHf9Z6k=")</f>
        <v>#REF!</v>
      </c>
      <c r="FO122" s="34" t="e">
        <f>AND(#REF!,"AAAAAHf9Z6o=")</f>
        <v>#REF!</v>
      </c>
      <c r="FP122" s="34" t="e">
        <f>AND(#REF!,"AAAAAHf9Z6s=")</f>
        <v>#REF!</v>
      </c>
      <c r="FQ122" s="34" t="e">
        <f>IF(#REF!,"AAAAAHf9Z6w=",0)</f>
        <v>#REF!</v>
      </c>
      <c r="FR122" s="34" t="e">
        <f>AND(#REF!,"AAAAAHf9Z60=")</f>
        <v>#REF!</v>
      </c>
      <c r="FS122" s="34" t="e">
        <f>AND(#REF!,"AAAAAHf9Z64=")</f>
        <v>#REF!</v>
      </c>
      <c r="FT122" s="34" t="e">
        <f>AND(#REF!,"AAAAAHf9Z68=")</f>
        <v>#REF!</v>
      </c>
      <c r="FU122" s="34" t="e">
        <f>AND(#REF!,"AAAAAHf9Z7A=")</f>
        <v>#REF!</v>
      </c>
      <c r="FV122" s="34" t="e">
        <f>AND(#REF!,"AAAAAHf9Z7E=")</f>
        <v>#REF!</v>
      </c>
      <c r="FW122" s="34" t="e">
        <f>AND(#REF!,"AAAAAHf9Z7I=")</f>
        <v>#REF!</v>
      </c>
      <c r="FX122" s="34" t="e">
        <f>AND(#REF!,"AAAAAHf9Z7M=")</f>
        <v>#REF!</v>
      </c>
      <c r="FY122" s="34" t="e">
        <f>AND(#REF!,"AAAAAHf9Z7Q=")</f>
        <v>#REF!</v>
      </c>
      <c r="FZ122" s="34" t="e">
        <f>AND(#REF!,"AAAAAHf9Z7U=")</f>
        <v>#REF!</v>
      </c>
      <c r="GA122" s="34" t="e">
        <f>AND(#REF!,"AAAAAHf9Z7Y=")</f>
        <v>#REF!</v>
      </c>
      <c r="GB122" s="34" t="e">
        <f>AND(#REF!,"AAAAAHf9Z7c=")</f>
        <v>#REF!</v>
      </c>
      <c r="GC122" s="34" t="e">
        <f>AND(#REF!,"AAAAAHf9Z7g=")</f>
        <v>#REF!</v>
      </c>
      <c r="GD122" s="34" t="e">
        <f>AND(#REF!,"AAAAAHf9Z7k=")</f>
        <v>#REF!</v>
      </c>
      <c r="GE122" s="34" t="e">
        <f>AND(#REF!,"AAAAAHf9Z7o=")</f>
        <v>#REF!</v>
      </c>
      <c r="GF122" s="34" t="e">
        <f>AND(#REF!,"AAAAAHf9Z7s=")</f>
        <v>#REF!</v>
      </c>
      <c r="GG122" s="34" t="e">
        <f>AND(#REF!,"AAAAAHf9Z7w=")</f>
        <v>#REF!</v>
      </c>
      <c r="GH122" s="34" t="e">
        <f>IF(#REF!,"AAAAAHf9Z70=",0)</f>
        <v>#REF!</v>
      </c>
      <c r="GI122" s="34" t="e">
        <f>AND(#REF!,"AAAAAHf9Z74=")</f>
        <v>#REF!</v>
      </c>
      <c r="GJ122" s="34" t="e">
        <f>AND(#REF!,"AAAAAHf9Z78=")</f>
        <v>#REF!</v>
      </c>
      <c r="GK122" s="34" t="e">
        <f>AND(#REF!,"AAAAAHf9Z8A=")</f>
        <v>#REF!</v>
      </c>
      <c r="GL122" s="34" t="e">
        <f>AND(#REF!,"AAAAAHf9Z8E=")</f>
        <v>#REF!</v>
      </c>
      <c r="GM122" s="34" t="e">
        <f>AND(#REF!,"AAAAAHf9Z8I=")</f>
        <v>#REF!</v>
      </c>
      <c r="GN122" s="34" t="e">
        <f>AND(#REF!,"AAAAAHf9Z8M=")</f>
        <v>#REF!</v>
      </c>
      <c r="GO122" s="34" t="e">
        <f>AND(#REF!,"AAAAAHf9Z8Q=")</f>
        <v>#REF!</v>
      </c>
      <c r="GP122" s="34" t="e">
        <f>AND(#REF!,"AAAAAHf9Z8U=")</f>
        <v>#REF!</v>
      </c>
      <c r="GQ122" s="34" t="e">
        <f>AND(#REF!,"AAAAAHf9Z8Y=")</f>
        <v>#REF!</v>
      </c>
      <c r="GR122" s="34" t="e">
        <f>AND(#REF!,"AAAAAHf9Z8c=")</f>
        <v>#REF!</v>
      </c>
      <c r="GS122" s="34" t="e">
        <f>AND(#REF!,"AAAAAHf9Z8g=")</f>
        <v>#REF!</v>
      </c>
      <c r="GT122" s="34" t="e">
        <f>AND(#REF!,"AAAAAHf9Z8k=")</f>
        <v>#REF!</v>
      </c>
      <c r="GU122" s="34" t="e">
        <f>AND(#REF!,"AAAAAHf9Z8o=")</f>
        <v>#REF!</v>
      </c>
      <c r="GV122" s="34" t="e">
        <f>AND(#REF!,"AAAAAHf9Z8s=")</f>
        <v>#REF!</v>
      </c>
      <c r="GW122" s="34" t="e">
        <f>AND(#REF!,"AAAAAHf9Z8w=")</f>
        <v>#REF!</v>
      </c>
      <c r="GX122" s="34" t="e">
        <f>AND(#REF!,"AAAAAHf9Z80=")</f>
        <v>#REF!</v>
      </c>
      <c r="GY122" s="34" t="e">
        <f>IF(#REF!,"AAAAAHf9Z84=",0)</f>
        <v>#REF!</v>
      </c>
      <c r="GZ122" s="34" t="e">
        <f>AND(#REF!,"AAAAAHf9Z88=")</f>
        <v>#REF!</v>
      </c>
      <c r="HA122" s="34" t="e">
        <f>AND(#REF!,"AAAAAHf9Z9A=")</f>
        <v>#REF!</v>
      </c>
      <c r="HB122" s="34" t="e">
        <f>AND(#REF!,"AAAAAHf9Z9E=")</f>
        <v>#REF!</v>
      </c>
      <c r="HC122" s="34" t="e">
        <f>AND(#REF!,"AAAAAHf9Z9I=")</f>
        <v>#REF!</v>
      </c>
      <c r="HD122" s="34" t="e">
        <f>AND(#REF!,"AAAAAHf9Z9M=")</f>
        <v>#REF!</v>
      </c>
      <c r="HE122" s="34" t="e">
        <f>AND(#REF!,"AAAAAHf9Z9Q=")</f>
        <v>#REF!</v>
      </c>
      <c r="HF122" s="34" t="e">
        <f>AND(#REF!,"AAAAAHf9Z9U=")</f>
        <v>#REF!</v>
      </c>
      <c r="HG122" s="34" t="e">
        <f>AND(#REF!,"AAAAAHf9Z9Y=")</f>
        <v>#REF!</v>
      </c>
      <c r="HH122" s="34" t="e">
        <f>AND(#REF!,"AAAAAHf9Z9c=")</f>
        <v>#REF!</v>
      </c>
      <c r="HI122" s="34" t="e">
        <f>AND(#REF!,"AAAAAHf9Z9g=")</f>
        <v>#REF!</v>
      </c>
      <c r="HJ122" s="34" t="e">
        <f>AND(#REF!,"AAAAAHf9Z9k=")</f>
        <v>#REF!</v>
      </c>
      <c r="HK122" s="34" t="e">
        <f>AND(#REF!,"AAAAAHf9Z9o=")</f>
        <v>#REF!</v>
      </c>
      <c r="HL122" s="34" t="e">
        <f>AND(#REF!,"AAAAAHf9Z9s=")</f>
        <v>#REF!</v>
      </c>
      <c r="HM122" s="34" t="e">
        <f>AND(#REF!,"AAAAAHf9Z9w=")</f>
        <v>#REF!</v>
      </c>
      <c r="HN122" s="34" t="e">
        <f>AND(#REF!,"AAAAAHf9Z90=")</f>
        <v>#REF!</v>
      </c>
      <c r="HO122" s="34" t="e">
        <f>AND(#REF!,"AAAAAHf9Z94=")</f>
        <v>#REF!</v>
      </c>
      <c r="HP122" s="34" t="e">
        <f>IF(#REF!,"AAAAAHf9Z98=",0)</f>
        <v>#REF!</v>
      </c>
      <c r="HQ122" s="34" t="e">
        <f>AND(#REF!,"AAAAAHf9Z+A=")</f>
        <v>#REF!</v>
      </c>
      <c r="HR122" s="34" t="e">
        <f>AND(#REF!,"AAAAAHf9Z+E=")</f>
        <v>#REF!</v>
      </c>
      <c r="HS122" s="34" t="e">
        <f>AND(#REF!,"AAAAAHf9Z+I=")</f>
        <v>#REF!</v>
      </c>
      <c r="HT122" s="34" t="e">
        <f>AND(#REF!,"AAAAAHf9Z+M=")</f>
        <v>#REF!</v>
      </c>
      <c r="HU122" s="34" t="e">
        <f>AND(#REF!,"AAAAAHf9Z+Q=")</f>
        <v>#REF!</v>
      </c>
      <c r="HV122" s="34" t="e">
        <f>AND(#REF!,"AAAAAHf9Z+U=")</f>
        <v>#REF!</v>
      </c>
      <c r="HW122" s="34" t="e">
        <f>AND(#REF!,"AAAAAHf9Z+Y=")</f>
        <v>#REF!</v>
      </c>
      <c r="HX122" s="34" t="e">
        <f>AND(#REF!,"AAAAAHf9Z+c=")</f>
        <v>#REF!</v>
      </c>
      <c r="HY122" s="34" t="e">
        <f>AND(#REF!,"AAAAAHf9Z+g=")</f>
        <v>#REF!</v>
      </c>
      <c r="HZ122" s="34" t="e">
        <f>AND(#REF!,"AAAAAHf9Z+k=")</f>
        <v>#REF!</v>
      </c>
      <c r="IA122" s="34" t="e">
        <f>AND(#REF!,"AAAAAHf9Z+o=")</f>
        <v>#REF!</v>
      </c>
      <c r="IB122" s="34" t="e">
        <f>AND(#REF!,"AAAAAHf9Z+s=")</f>
        <v>#REF!</v>
      </c>
      <c r="IC122" s="34" t="e">
        <f>AND(#REF!,"AAAAAHf9Z+w=")</f>
        <v>#REF!</v>
      </c>
      <c r="ID122" s="34" t="e">
        <f>AND(#REF!,"AAAAAHf9Z+0=")</f>
        <v>#REF!</v>
      </c>
      <c r="IE122" s="34" t="e">
        <f>AND(#REF!,"AAAAAHf9Z+4=")</f>
        <v>#REF!</v>
      </c>
      <c r="IF122" s="34" t="e">
        <f>AND(#REF!,"AAAAAHf9Z+8=")</f>
        <v>#REF!</v>
      </c>
      <c r="IG122" s="34" t="e">
        <f>IF(#REF!,"AAAAAHf9Z/A=",0)</f>
        <v>#REF!</v>
      </c>
      <c r="IH122" s="34" t="e">
        <f>AND(#REF!,"AAAAAHf9Z/E=")</f>
        <v>#REF!</v>
      </c>
      <c r="II122" s="34" t="e">
        <f>AND(#REF!,"AAAAAHf9Z/I=")</f>
        <v>#REF!</v>
      </c>
      <c r="IJ122" s="34" t="e">
        <f>AND(#REF!,"AAAAAHf9Z/M=")</f>
        <v>#REF!</v>
      </c>
      <c r="IK122" s="34" t="e">
        <f>AND(#REF!,"AAAAAHf9Z/Q=")</f>
        <v>#REF!</v>
      </c>
      <c r="IL122" s="34" t="e">
        <f>AND(#REF!,"AAAAAHf9Z/U=")</f>
        <v>#REF!</v>
      </c>
      <c r="IM122" s="34" t="e">
        <f>AND(#REF!,"AAAAAHf9Z/Y=")</f>
        <v>#REF!</v>
      </c>
      <c r="IN122" s="34" t="e">
        <f>AND(#REF!,"AAAAAHf9Z/c=")</f>
        <v>#REF!</v>
      </c>
      <c r="IO122" s="34" t="e">
        <f>AND(#REF!,"AAAAAHf9Z/g=")</f>
        <v>#REF!</v>
      </c>
      <c r="IP122" s="34" t="e">
        <f>AND(#REF!,"AAAAAHf9Z/k=")</f>
        <v>#REF!</v>
      </c>
      <c r="IQ122" s="34" t="e">
        <f>AND(#REF!,"AAAAAHf9Z/o=")</f>
        <v>#REF!</v>
      </c>
      <c r="IR122" s="34" t="e">
        <f>AND(#REF!,"AAAAAHf9Z/s=")</f>
        <v>#REF!</v>
      </c>
      <c r="IS122" s="34" t="e">
        <f>AND(#REF!,"AAAAAHf9Z/w=")</f>
        <v>#REF!</v>
      </c>
      <c r="IT122" s="34" t="e">
        <f>AND(#REF!,"AAAAAHf9Z/0=")</f>
        <v>#REF!</v>
      </c>
      <c r="IU122" s="34" t="e">
        <f>AND(#REF!,"AAAAAHf9Z/4=")</f>
        <v>#REF!</v>
      </c>
      <c r="IV122" s="34" t="e">
        <f>AND(#REF!,"AAAAAHf9Z/8=")</f>
        <v>#REF!</v>
      </c>
    </row>
    <row r="123" spans="1:256" ht="12.75" customHeight="1" x14ac:dyDescent="0.2">
      <c r="A123" s="34" t="e">
        <f>AND(#REF!,"AAAAAGr+bwA=")</f>
        <v>#REF!</v>
      </c>
      <c r="B123" s="34" t="e">
        <f>IF(#REF!,"AAAAAGr+bwE=",0)</f>
        <v>#REF!</v>
      </c>
      <c r="C123" s="34" t="e">
        <f>AND(#REF!,"AAAAAGr+bwI=")</f>
        <v>#REF!</v>
      </c>
      <c r="D123" s="34" t="e">
        <f>AND(#REF!,"AAAAAGr+bwM=")</f>
        <v>#REF!</v>
      </c>
      <c r="E123" s="34" t="e">
        <f>AND(#REF!,"AAAAAGr+bwQ=")</f>
        <v>#REF!</v>
      </c>
      <c r="F123" s="34" t="e">
        <f>AND(#REF!,"AAAAAGr+bwU=")</f>
        <v>#REF!</v>
      </c>
      <c r="G123" s="34" t="e">
        <f>AND(#REF!,"AAAAAGr+bwY=")</f>
        <v>#REF!</v>
      </c>
      <c r="H123" s="34" t="e">
        <f>AND(#REF!,"AAAAAGr+bwc=")</f>
        <v>#REF!</v>
      </c>
      <c r="I123" s="34" t="e">
        <f>AND(#REF!,"AAAAAGr+bwg=")</f>
        <v>#REF!</v>
      </c>
      <c r="J123" s="34" t="e">
        <f>AND(#REF!,"AAAAAGr+bwk=")</f>
        <v>#REF!</v>
      </c>
      <c r="K123" s="34" t="e">
        <f>AND(#REF!,"AAAAAGr+bwo=")</f>
        <v>#REF!</v>
      </c>
      <c r="L123" s="34" t="e">
        <f>AND(#REF!,"AAAAAGr+bws=")</f>
        <v>#REF!</v>
      </c>
      <c r="M123" s="34" t="e">
        <f>AND(#REF!,"AAAAAGr+bww=")</f>
        <v>#REF!</v>
      </c>
      <c r="N123" s="34" t="e">
        <f>AND(#REF!,"AAAAAGr+bw0=")</f>
        <v>#REF!</v>
      </c>
      <c r="O123" s="34" t="e">
        <f>AND(#REF!,"AAAAAGr+bw4=")</f>
        <v>#REF!</v>
      </c>
      <c r="P123" s="34" t="e">
        <f>AND(#REF!,"AAAAAGr+bw8=")</f>
        <v>#REF!</v>
      </c>
      <c r="Q123" s="34" t="e">
        <f>AND(#REF!,"AAAAAGr+bxA=")</f>
        <v>#REF!</v>
      </c>
      <c r="R123" s="34" t="e">
        <f>AND(#REF!,"AAAAAGr+bxE=")</f>
        <v>#REF!</v>
      </c>
      <c r="S123" s="34" t="e">
        <f>IF(#REF!,"AAAAAGr+bxI=",0)</f>
        <v>#REF!</v>
      </c>
      <c r="T123" s="34" t="e">
        <f>AND(#REF!,"AAAAAGr+bxM=")</f>
        <v>#REF!</v>
      </c>
      <c r="U123" s="34" t="e">
        <f>AND(#REF!,"AAAAAGr+bxQ=")</f>
        <v>#REF!</v>
      </c>
      <c r="V123" s="34" t="e">
        <f>AND(#REF!,"AAAAAGr+bxU=")</f>
        <v>#REF!</v>
      </c>
      <c r="W123" s="34" t="e">
        <f>AND(#REF!,"AAAAAGr+bxY=")</f>
        <v>#REF!</v>
      </c>
      <c r="X123" s="34" t="e">
        <f>AND(#REF!,"AAAAAGr+bxc=")</f>
        <v>#REF!</v>
      </c>
      <c r="Y123" s="34" t="e">
        <f>AND(#REF!,"AAAAAGr+bxg=")</f>
        <v>#REF!</v>
      </c>
      <c r="Z123" s="34" t="e">
        <f>AND(#REF!,"AAAAAGr+bxk=")</f>
        <v>#REF!</v>
      </c>
      <c r="AA123" s="34" t="e">
        <f>AND(#REF!,"AAAAAGr+bxo=")</f>
        <v>#REF!</v>
      </c>
      <c r="AB123" s="34" t="e">
        <f>AND(#REF!,"AAAAAGr+bxs=")</f>
        <v>#REF!</v>
      </c>
      <c r="AC123" s="34" t="e">
        <f>AND(#REF!,"AAAAAGr+bxw=")</f>
        <v>#REF!</v>
      </c>
      <c r="AD123" s="34" t="e">
        <f>AND(#REF!,"AAAAAGr+bx0=")</f>
        <v>#REF!</v>
      </c>
      <c r="AE123" s="34" t="e">
        <f>AND(#REF!,"AAAAAGr+bx4=")</f>
        <v>#REF!</v>
      </c>
      <c r="AF123" s="34" t="e">
        <f>AND(#REF!,"AAAAAGr+bx8=")</f>
        <v>#REF!</v>
      </c>
      <c r="AG123" s="34" t="e">
        <f>AND(#REF!,"AAAAAGr+byA=")</f>
        <v>#REF!</v>
      </c>
      <c r="AH123" s="34" t="e">
        <f>AND(#REF!,"AAAAAGr+byE=")</f>
        <v>#REF!</v>
      </c>
      <c r="AI123" s="34" t="e">
        <f>AND(#REF!,"AAAAAGr+byI=")</f>
        <v>#REF!</v>
      </c>
      <c r="AJ123" s="34" t="e">
        <f>IF(#REF!,"AAAAAGr+byM=",0)</f>
        <v>#REF!</v>
      </c>
      <c r="AK123" s="34" t="e">
        <f>AND(#REF!,"AAAAAGr+byQ=")</f>
        <v>#REF!</v>
      </c>
      <c r="AL123" s="34" t="e">
        <f>AND(#REF!,"AAAAAGr+byU=")</f>
        <v>#REF!</v>
      </c>
      <c r="AM123" s="34" t="e">
        <f>AND(#REF!,"AAAAAGr+byY=")</f>
        <v>#REF!</v>
      </c>
      <c r="AN123" s="34" t="e">
        <f>AND(#REF!,"AAAAAGr+byc=")</f>
        <v>#REF!</v>
      </c>
      <c r="AO123" s="34" t="e">
        <f>AND(#REF!,"AAAAAGr+byg=")</f>
        <v>#REF!</v>
      </c>
      <c r="AP123" s="34" t="e">
        <f>AND(#REF!,"AAAAAGr+byk=")</f>
        <v>#REF!</v>
      </c>
      <c r="AQ123" s="34" t="e">
        <f>AND(#REF!,"AAAAAGr+byo=")</f>
        <v>#REF!</v>
      </c>
      <c r="AR123" s="34" t="e">
        <f>AND(#REF!,"AAAAAGr+bys=")</f>
        <v>#REF!</v>
      </c>
      <c r="AS123" s="34" t="e">
        <f>AND(#REF!,"AAAAAGr+byw=")</f>
        <v>#REF!</v>
      </c>
      <c r="AT123" s="34" t="e">
        <f>AND(#REF!,"AAAAAGr+by0=")</f>
        <v>#REF!</v>
      </c>
      <c r="AU123" s="34" t="e">
        <f>AND(#REF!,"AAAAAGr+by4=")</f>
        <v>#REF!</v>
      </c>
      <c r="AV123" s="34" t="e">
        <f>AND(#REF!,"AAAAAGr+by8=")</f>
        <v>#REF!</v>
      </c>
      <c r="AW123" s="34" t="e">
        <f>AND(#REF!,"AAAAAGr+bzA=")</f>
        <v>#REF!</v>
      </c>
      <c r="AX123" s="34" t="e">
        <f>AND(#REF!,"AAAAAGr+bzE=")</f>
        <v>#REF!</v>
      </c>
      <c r="AY123" s="34" t="e">
        <f>AND(#REF!,"AAAAAGr+bzI=")</f>
        <v>#REF!</v>
      </c>
      <c r="AZ123" s="34" t="e">
        <f>AND(#REF!,"AAAAAGr+bzM=")</f>
        <v>#REF!</v>
      </c>
      <c r="BA123" s="34" t="e">
        <f>IF(#REF!,"AAAAAGr+bzQ=",0)</f>
        <v>#REF!</v>
      </c>
      <c r="BB123" s="34" t="e">
        <f>AND(#REF!,"AAAAAGr+bzU=")</f>
        <v>#REF!</v>
      </c>
      <c r="BC123" s="34" t="e">
        <f>AND(#REF!,"AAAAAGr+bzY=")</f>
        <v>#REF!</v>
      </c>
      <c r="BD123" s="34" t="e">
        <f>AND(#REF!,"AAAAAGr+bzc=")</f>
        <v>#REF!</v>
      </c>
      <c r="BE123" s="34" t="e">
        <f>AND(#REF!,"AAAAAGr+bzg=")</f>
        <v>#REF!</v>
      </c>
      <c r="BF123" s="34" t="e">
        <f>AND(#REF!,"AAAAAGr+bzk=")</f>
        <v>#REF!</v>
      </c>
      <c r="BG123" s="34" t="e">
        <f>AND(#REF!,"AAAAAGr+bzo=")</f>
        <v>#REF!</v>
      </c>
      <c r="BH123" s="34" t="e">
        <f>AND(#REF!,"AAAAAGr+bzs=")</f>
        <v>#REF!</v>
      </c>
      <c r="BI123" s="34" t="e">
        <f>AND(#REF!,"AAAAAGr+bzw=")</f>
        <v>#REF!</v>
      </c>
      <c r="BJ123" s="34" t="e">
        <f>AND(#REF!,"AAAAAGr+bz0=")</f>
        <v>#REF!</v>
      </c>
      <c r="BK123" s="34" t="e">
        <f>AND(#REF!,"AAAAAGr+bz4=")</f>
        <v>#REF!</v>
      </c>
      <c r="BL123" s="34" t="e">
        <f>AND(#REF!,"AAAAAGr+bz8=")</f>
        <v>#REF!</v>
      </c>
      <c r="BM123" s="34" t="e">
        <f>AND(#REF!,"AAAAAGr+b0A=")</f>
        <v>#REF!</v>
      </c>
      <c r="BN123" s="34" t="e">
        <f>AND(#REF!,"AAAAAGr+b0E=")</f>
        <v>#REF!</v>
      </c>
      <c r="BO123" s="34" t="e">
        <f>AND(#REF!,"AAAAAGr+b0I=")</f>
        <v>#REF!</v>
      </c>
      <c r="BP123" s="34" t="e">
        <f>AND(#REF!,"AAAAAGr+b0M=")</f>
        <v>#REF!</v>
      </c>
      <c r="BQ123" s="34" t="e">
        <f>AND(#REF!,"AAAAAGr+b0Q=")</f>
        <v>#REF!</v>
      </c>
      <c r="BR123" s="34" t="e">
        <f>IF(#REF!,"AAAAAGr+b0U=",0)</f>
        <v>#REF!</v>
      </c>
      <c r="BS123" s="34" t="e">
        <f>IF(#REF!,"AAAAAGr+b0Y=",0)</f>
        <v>#REF!</v>
      </c>
      <c r="BT123" s="34" t="e">
        <f>IF(#REF!,"AAAAAGr+b0c=",0)</f>
        <v>#REF!</v>
      </c>
      <c r="BU123" s="34" t="e">
        <f>IF(#REF!,"AAAAAGr+b0g=",0)</f>
        <v>#REF!</v>
      </c>
      <c r="BV123" s="34" t="e">
        <f>IF(#REF!,"AAAAAGr+b0k=",0)</f>
        <v>#REF!</v>
      </c>
      <c r="BW123" s="34" t="e">
        <f>IF(#REF!,"AAAAAGr+b0o=",0)</f>
        <v>#REF!</v>
      </c>
      <c r="BX123" s="34" t="e">
        <f>IF(#REF!,"AAAAAGr+b0s=",0)</f>
        <v>#REF!</v>
      </c>
      <c r="BY123" s="34" t="e">
        <f>IF(#REF!,"AAAAAGr+b0w=",0)</f>
        <v>#REF!</v>
      </c>
      <c r="BZ123" s="34" t="e">
        <f>IF(#REF!,"AAAAAGr+b00=",0)</f>
        <v>#REF!</v>
      </c>
      <c r="CA123" s="34" t="e">
        <f>IF(#REF!,"AAAAAGr+b04=",0)</f>
        <v>#REF!</v>
      </c>
      <c r="CB123" s="34" t="e">
        <f>IF(#REF!,"AAAAAGr+b08=",0)</f>
        <v>#REF!</v>
      </c>
      <c r="CC123" s="34" t="e">
        <f>IF(#REF!,"AAAAAGr+b1A=",0)</f>
        <v>#REF!</v>
      </c>
      <c r="CD123" s="34" t="e">
        <f>IF(#REF!,"AAAAAGr+b1E=",0)</f>
        <v>#REF!</v>
      </c>
      <c r="CE123" s="34" t="e">
        <f>IF(#REF!,"AAAAAGr+b1I=",0)</f>
        <v>#REF!</v>
      </c>
      <c r="CF123" s="34" t="e">
        <f>IF(#REF!,"AAAAAGr+b1M=",0)</f>
        <v>#REF!</v>
      </c>
      <c r="CG123" s="34" t="e">
        <f>IF(#REF!,"AAAAAGr+b1Q=",0)</f>
        <v>#REF!</v>
      </c>
      <c r="CH123" s="34" t="e">
        <f>IF(#REF!,"AAAAAGr+b1U=",0)</f>
        <v>#REF!</v>
      </c>
      <c r="CI123" s="34" t="e">
        <f>IF(#REF!,"AAAAAGr+b1Y=",0)</f>
        <v>#REF!</v>
      </c>
      <c r="CJ123" s="34" t="e">
        <f>IF(#REF!,"AAAAAGr+b1c=",0)</f>
        <v>#REF!</v>
      </c>
      <c r="CK123" s="34" t="e">
        <f>IF(#REF!,"AAAAAGr+b1g=",0)</f>
        <v>#REF!</v>
      </c>
      <c r="CL123" s="34" t="e">
        <f>IF(#REF!,"AAAAAGr+b1k=",0)</f>
        <v>#REF!</v>
      </c>
      <c r="CM123" s="34" t="e">
        <f>IF(#REF!,"AAAAAGr+b1o=",0)</f>
        <v>#REF!</v>
      </c>
      <c r="CN123" s="34" t="e">
        <f>IF(#REF!,"AAAAAGr+b1s=",0)</f>
        <v>#REF!</v>
      </c>
      <c r="CO123" s="34" t="e">
        <f>IF(#REF!,"AAAAAGr+b1w=",0)</f>
        <v>#REF!</v>
      </c>
      <c r="CP123" s="34" t="e">
        <f>IF(#REF!,"AAAAAGr+b10=",0)</f>
        <v>#REF!</v>
      </c>
      <c r="CQ123" s="34" t="e">
        <f>IF(#REF!,"AAAAAGr+b14=",0)</f>
        <v>#REF!</v>
      </c>
      <c r="CR123" s="34" t="e">
        <f>IF(#REF!,"AAAAAGr+b18=",0)</f>
        <v>#REF!</v>
      </c>
      <c r="CS123" s="34" t="e">
        <f>IF(#REF!,"AAAAAGr+b2A=",0)</f>
        <v>#REF!</v>
      </c>
      <c r="CT123" s="34" t="e">
        <f>IF(#REF!,"AAAAAGr+b2E=",0)</f>
        <v>#REF!</v>
      </c>
      <c r="CU123" s="34" t="e">
        <f>IF(#REF!,"AAAAAGr+b2I=",0)</f>
        <v>#REF!</v>
      </c>
      <c r="CV123" s="34" t="e">
        <f>IF(#REF!,"AAAAAGr+b2M=",0)</f>
        <v>#REF!</v>
      </c>
      <c r="CW123" s="34" t="e">
        <f>IF(#REF!,"AAAAAGr+b2Q=",0)</f>
        <v>#REF!</v>
      </c>
      <c r="CX123" s="34" t="e">
        <f>IF(#REF!,"AAAAAGr+b2U=",0)</f>
        <v>#REF!</v>
      </c>
      <c r="CY123" s="34" t="e">
        <f>IF(#REF!,"AAAAAGr+b2Y=",0)</f>
        <v>#REF!</v>
      </c>
      <c r="CZ123" s="34" t="e">
        <f>IF(#REF!,"AAAAAGr+b2c=",0)</f>
        <v>#REF!</v>
      </c>
      <c r="DA123" s="34" t="e">
        <f>IF(#REF!,"AAAAAGr+b2g=",0)</f>
        <v>#REF!</v>
      </c>
      <c r="DB123" s="34" t="e">
        <f>IF(#REF!,"AAAAAGr+b2k=",0)</f>
        <v>#REF!</v>
      </c>
      <c r="DC123" s="34" t="e">
        <f>IF(#REF!,"AAAAAGr+b2o=",0)</f>
        <v>#REF!</v>
      </c>
      <c r="DD123" s="34" t="e">
        <f>IF(#REF!,"AAAAAGr+b2s=",0)</f>
        <v>#REF!</v>
      </c>
      <c r="DE123" s="34" t="e">
        <f>IF(#REF!,"AAAAAGr+b2w=",0)</f>
        <v>#REF!</v>
      </c>
      <c r="DF123" s="34" t="e">
        <f>IF(#REF!,"AAAAAGr+b20=",0)</f>
        <v>#REF!</v>
      </c>
      <c r="DG123" s="34" t="e">
        <f>IF(#REF!,"AAAAAGr+b24=",0)</f>
        <v>#REF!</v>
      </c>
      <c r="DH123" s="34" t="e">
        <f>IF(#REF!,"AAAAAGr+b28=",0)</f>
        <v>#REF!</v>
      </c>
      <c r="DI123" s="34" t="e">
        <f>IF(#REF!,"AAAAAGr+b3A=",0)</f>
        <v>#REF!</v>
      </c>
      <c r="DJ123" s="34" t="e">
        <f>IF(#REF!,"AAAAAGr+b3E=",0)</f>
        <v>#REF!</v>
      </c>
      <c r="DK123" s="34" t="e">
        <f>IF(#REF!,"AAAAAGr+b3I=",0)</f>
        <v>#REF!</v>
      </c>
      <c r="DL123" s="34" t="e">
        <f>IF(#REF!,"AAAAAGr+b3M=",0)</f>
        <v>#REF!</v>
      </c>
      <c r="DM123" s="34" t="e">
        <f>IF(#REF!,"AAAAAGr+b3Q=",0)</f>
        <v>#REF!</v>
      </c>
      <c r="DN123" s="34" t="e">
        <f>IF(#REF!,"AAAAAGr+b3U=",0)</f>
        <v>#REF!</v>
      </c>
      <c r="DO123" s="34" t="e">
        <f>IF(#REF!,"AAAAAGr+b3Y=",0)</f>
        <v>#REF!</v>
      </c>
      <c r="DP123" s="34" t="e">
        <f>IF(#REF!,"AAAAAGr+b3c=",0)</f>
        <v>#REF!</v>
      </c>
      <c r="DQ123" s="34" t="e">
        <f>IF(#REF!,"AAAAAGr+b3g=",0)</f>
        <v>#REF!</v>
      </c>
      <c r="DR123" s="34" t="e">
        <f>IF(#REF!,"AAAAAGr+b3k=",0)</f>
        <v>#REF!</v>
      </c>
      <c r="DS123" s="34" t="e">
        <f>IF(#REF!,"AAAAAGr+b3o=",0)</f>
        <v>#REF!</v>
      </c>
      <c r="DT123" s="34" t="e">
        <f>IF(#REF!,"AAAAAGr+b3s=",0)</f>
        <v>#REF!</v>
      </c>
      <c r="DU123" s="34" t="e">
        <f>IF(#REF!,"AAAAAGr+b3w=",0)</f>
        <v>#REF!</v>
      </c>
      <c r="DV123" s="34" t="e">
        <f>IF(#REF!,"AAAAAGr+b30=",0)</f>
        <v>#REF!</v>
      </c>
      <c r="DW123" s="34" t="e">
        <f>IF(#REF!,"AAAAAGr+b34=",0)</f>
        <v>#REF!</v>
      </c>
      <c r="DX123" s="34" t="e">
        <f>IF(#REF!,"AAAAAGr+b38=",0)</f>
        <v>#REF!</v>
      </c>
      <c r="DY123" s="34" t="e">
        <f>IF(#REF!,"AAAAAGr+b4A=",0)</f>
        <v>#REF!</v>
      </c>
      <c r="DZ123" s="34" t="e">
        <f>IF(#REF!,"AAAAAGr+b4E=",0)</f>
        <v>#REF!</v>
      </c>
      <c r="EA123" s="34" t="e">
        <f>IF(#REF!,"AAAAAGr+b4I=",0)</f>
        <v>#REF!</v>
      </c>
      <c r="EB123" s="34" t="e">
        <f>IF(#REF!,"AAAAAGr+b4M=",0)</f>
        <v>#REF!</v>
      </c>
      <c r="EC123" s="34" t="e">
        <f>IF(#REF!,"AAAAAGr+b4Q=",0)</f>
        <v>#REF!</v>
      </c>
      <c r="ED123" s="34" t="e">
        <f>IF(#REF!,"AAAAAGr+b4U=",0)</f>
        <v>#REF!</v>
      </c>
      <c r="EE123" s="34" t="e">
        <f>IF(#REF!,"AAAAAGr+b4Y=",0)</f>
        <v>#REF!</v>
      </c>
      <c r="EF123" s="34" t="e">
        <f>IF(#REF!,"AAAAAGr+b4c=",0)</f>
        <v>#REF!</v>
      </c>
      <c r="EG123" s="34" t="e">
        <f>AND(#REF!,"AAAAAGr+b4g=")</f>
        <v>#REF!</v>
      </c>
      <c r="EH123" s="34" t="e">
        <f>AND(#REF!,"AAAAAGr+b4k=")</f>
        <v>#REF!</v>
      </c>
      <c r="EI123" s="34" t="e">
        <f>AND(#REF!,"AAAAAGr+b4o=")</f>
        <v>#REF!</v>
      </c>
      <c r="EJ123" s="34" t="e">
        <f>AND(#REF!,"AAAAAGr+b4s=")</f>
        <v>#REF!</v>
      </c>
      <c r="EK123" s="34" t="e">
        <f>AND(#REF!,"AAAAAGr+b4w=")</f>
        <v>#REF!</v>
      </c>
      <c r="EL123" s="34" t="e">
        <f>AND(#REF!,"AAAAAGr+b40=")</f>
        <v>#REF!</v>
      </c>
      <c r="EM123" s="34" t="e">
        <f>AND(#REF!,"AAAAAGr+b44=")</f>
        <v>#REF!</v>
      </c>
      <c r="EN123" s="34" t="e">
        <f>AND(#REF!,"AAAAAGr+b48=")</f>
        <v>#REF!</v>
      </c>
      <c r="EO123" s="34" t="e">
        <f>AND(#REF!,"AAAAAGr+b5A=")</f>
        <v>#REF!</v>
      </c>
      <c r="EP123" s="34" t="e">
        <f>AND(#REF!,"AAAAAGr+b5E=")</f>
        <v>#REF!</v>
      </c>
      <c r="EQ123" s="34" t="e">
        <f>AND(#REF!,"AAAAAGr+b5I=")</f>
        <v>#REF!</v>
      </c>
      <c r="ER123" s="34" t="e">
        <f>AND(#REF!,"AAAAAGr+b5M=")</f>
        <v>#REF!</v>
      </c>
      <c r="ES123" s="34" t="e">
        <f>AND(#REF!,"AAAAAGr+b5Q=")</f>
        <v>#REF!</v>
      </c>
      <c r="ET123" s="34" t="e">
        <f>AND(#REF!,"AAAAAGr+b5U=")</f>
        <v>#REF!</v>
      </c>
      <c r="EU123" s="34" t="e">
        <f>AND(#REF!,"AAAAAGr+b5Y=")</f>
        <v>#REF!</v>
      </c>
      <c r="EV123" s="34" t="e">
        <f>AND(#REF!,"AAAAAGr+b5c=")</f>
        <v>#REF!</v>
      </c>
      <c r="EW123" s="34" t="e">
        <f>AND(#REF!,"AAAAAGr+b5g=")</f>
        <v>#REF!</v>
      </c>
      <c r="EX123" s="34" t="e">
        <f>AND(#REF!,"AAAAAGr+b5k=")</f>
        <v>#REF!</v>
      </c>
      <c r="EY123" s="34" t="e">
        <f>AND(#REF!,"AAAAAGr+b5o=")</f>
        <v>#REF!</v>
      </c>
      <c r="EZ123" s="34" t="e">
        <f>AND(#REF!,"AAAAAGr+b5s=")</f>
        <v>#REF!</v>
      </c>
      <c r="FA123" s="34" t="e">
        <f>AND(#REF!,"AAAAAGr+b5w=")</f>
        <v>#REF!</v>
      </c>
      <c r="FB123" s="34" t="e">
        <f>AND(#REF!,"AAAAAGr+b50=")</f>
        <v>#REF!</v>
      </c>
      <c r="FC123" s="34" t="e">
        <f>AND(#REF!,"AAAAAGr+b54=")</f>
        <v>#REF!</v>
      </c>
      <c r="FD123" s="34" t="e">
        <f>AND(#REF!,"AAAAAGr+b58=")</f>
        <v>#REF!</v>
      </c>
      <c r="FE123" s="34" t="e">
        <f>AND(#REF!,"AAAAAGr+b6A=")</f>
        <v>#REF!</v>
      </c>
      <c r="FF123" s="34" t="e">
        <f>AND(#REF!,"AAAAAGr+b6E=")</f>
        <v>#REF!</v>
      </c>
      <c r="FG123" s="34" t="e">
        <f>AND(#REF!,"AAAAAGr+b6I=")</f>
        <v>#REF!</v>
      </c>
      <c r="FH123" s="34" t="e">
        <f>AND(#REF!,"AAAAAGr+b6M=")</f>
        <v>#REF!</v>
      </c>
      <c r="FI123" s="34" t="e">
        <f>AND(#REF!,"AAAAAGr+b6Q=")</f>
        <v>#REF!</v>
      </c>
      <c r="FJ123" s="34" t="e">
        <f>AND(#REF!,"AAAAAGr+b6U=")</f>
        <v>#REF!</v>
      </c>
      <c r="FK123" s="34" t="e">
        <f>AND(#REF!,"AAAAAGr+b6Y=")</f>
        <v>#REF!</v>
      </c>
      <c r="FL123" s="34" t="e">
        <f>AND(#REF!,"AAAAAGr+b6c=")</f>
        <v>#REF!</v>
      </c>
      <c r="FM123" s="34" t="e">
        <f>AND(#REF!,"AAAAAGr+b6g=")</f>
        <v>#REF!</v>
      </c>
      <c r="FN123" s="34" t="e">
        <f>AND(#REF!,"AAAAAGr+b6k=")</f>
        <v>#REF!</v>
      </c>
      <c r="FO123" s="34" t="e">
        <f>AND(#REF!,"AAAAAGr+b6o=")</f>
        <v>#REF!</v>
      </c>
      <c r="FP123" s="34" t="e">
        <f>AND(#REF!,"AAAAAGr+b6s=")</f>
        <v>#REF!</v>
      </c>
      <c r="FQ123" s="34" t="e">
        <f>AND(#REF!,"AAAAAGr+b6w=")</f>
        <v>#REF!</v>
      </c>
      <c r="FR123" s="34" t="e">
        <f>AND(#REF!,"AAAAAGr+b60=")</f>
        <v>#REF!</v>
      </c>
      <c r="FS123" s="34" t="e">
        <f>AND(#REF!,"AAAAAGr+b64=")</f>
        <v>#REF!</v>
      </c>
      <c r="FT123" s="34" t="e">
        <f>AND(#REF!,"AAAAAGr+b68=")</f>
        <v>#REF!</v>
      </c>
      <c r="FU123" s="34" t="e">
        <f>AND(#REF!,"AAAAAGr+b7A=")</f>
        <v>#REF!</v>
      </c>
      <c r="FV123" s="34" t="e">
        <f>AND(#REF!,"AAAAAGr+b7E=")</f>
        <v>#REF!</v>
      </c>
      <c r="FW123" s="34" t="e">
        <f>IF(#REF!,"AAAAAGr+b7I=",0)</f>
        <v>#REF!</v>
      </c>
      <c r="FX123" s="34" t="e">
        <f>AND(#REF!,"AAAAAGr+b7M=")</f>
        <v>#REF!</v>
      </c>
      <c r="FY123" s="34" t="e">
        <f>AND(#REF!,"AAAAAGr+b7Q=")</f>
        <v>#REF!</v>
      </c>
      <c r="FZ123" s="34" t="e">
        <f>AND(#REF!,"AAAAAGr+b7U=")</f>
        <v>#REF!</v>
      </c>
      <c r="GA123" s="34" t="e">
        <f>AND(#REF!,"AAAAAGr+b7Y=")</f>
        <v>#REF!</v>
      </c>
      <c r="GB123" s="34" t="e">
        <f>AND(#REF!,"AAAAAGr+b7c=")</f>
        <v>#REF!</v>
      </c>
      <c r="GC123" s="34" t="e">
        <f>AND(#REF!,"AAAAAGr+b7g=")</f>
        <v>#REF!</v>
      </c>
      <c r="GD123" s="34" t="e">
        <f>AND(#REF!,"AAAAAGr+b7k=")</f>
        <v>#REF!</v>
      </c>
      <c r="GE123" s="34" t="e">
        <f>AND(#REF!,"AAAAAGr+b7o=")</f>
        <v>#REF!</v>
      </c>
      <c r="GF123" s="34" t="e">
        <f>AND(#REF!,"AAAAAGr+b7s=")</f>
        <v>#REF!</v>
      </c>
      <c r="GG123" s="34" t="e">
        <f>AND(#REF!,"AAAAAGr+b7w=")</f>
        <v>#REF!</v>
      </c>
      <c r="GH123" s="34" t="e">
        <f>AND(#REF!,"AAAAAGr+b70=")</f>
        <v>#REF!</v>
      </c>
      <c r="GI123" s="34" t="e">
        <f>AND(#REF!,"AAAAAGr+b74=")</f>
        <v>#REF!</v>
      </c>
      <c r="GJ123" s="34" t="e">
        <f>AND(#REF!,"AAAAAGr+b78=")</f>
        <v>#REF!</v>
      </c>
      <c r="GK123" s="34" t="e">
        <f>AND(#REF!,"AAAAAGr+b8A=")</f>
        <v>#REF!</v>
      </c>
      <c r="GL123" s="34" t="e">
        <f>AND(#REF!,"AAAAAGr+b8E=")</f>
        <v>#REF!</v>
      </c>
      <c r="GM123" s="34" t="e">
        <f>AND(#REF!,"AAAAAGr+b8I=")</f>
        <v>#REF!</v>
      </c>
      <c r="GN123" s="34" t="e">
        <f>AND(#REF!,"AAAAAGr+b8M=")</f>
        <v>#REF!</v>
      </c>
      <c r="GO123" s="34" t="e">
        <f>AND(#REF!,"AAAAAGr+b8Q=")</f>
        <v>#REF!</v>
      </c>
      <c r="GP123" s="34" t="e">
        <f>AND(#REF!,"AAAAAGr+b8U=")</f>
        <v>#REF!</v>
      </c>
      <c r="GQ123" s="34" t="e">
        <f>AND(#REF!,"AAAAAGr+b8Y=")</f>
        <v>#REF!</v>
      </c>
      <c r="GR123" s="34" t="e">
        <f>AND(#REF!,"AAAAAGr+b8c=")</f>
        <v>#REF!</v>
      </c>
      <c r="GS123" s="34" t="e">
        <f>AND(#REF!,"AAAAAGr+b8g=")</f>
        <v>#REF!</v>
      </c>
      <c r="GT123" s="34" t="e">
        <f>AND(#REF!,"AAAAAGr+b8k=")</f>
        <v>#REF!</v>
      </c>
      <c r="GU123" s="34" t="e">
        <f>AND(#REF!,"AAAAAGr+b8o=")</f>
        <v>#REF!</v>
      </c>
      <c r="GV123" s="34" t="e">
        <f>AND(#REF!,"AAAAAGr+b8s=")</f>
        <v>#REF!</v>
      </c>
      <c r="GW123" s="34" t="e">
        <f>AND(#REF!,"AAAAAGr+b8w=")</f>
        <v>#REF!</v>
      </c>
      <c r="GX123" s="34" t="e">
        <f>AND(#REF!,"AAAAAGr+b80=")</f>
        <v>#REF!</v>
      </c>
      <c r="GY123" s="34" t="e">
        <f>AND(#REF!,"AAAAAGr+b84=")</f>
        <v>#REF!</v>
      </c>
      <c r="GZ123" s="34" t="e">
        <f>AND(#REF!,"AAAAAGr+b88=")</f>
        <v>#REF!</v>
      </c>
      <c r="HA123" s="34" t="e">
        <f>AND(#REF!,"AAAAAGr+b9A=")</f>
        <v>#REF!</v>
      </c>
      <c r="HB123" s="34" t="e">
        <f>AND(#REF!,"AAAAAGr+b9E=")</f>
        <v>#REF!</v>
      </c>
      <c r="HC123" s="34" t="e">
        <f>AND(#REF!,"AAAAAGr+b9I=")</f>
        <v>#REF!</v>
      </c>
      <c r="HD123" s="34" t="e">
        <f>AND(#REF!,"AAAAAGr+b9M=")</f>
        <v>#REF!</v>
      </c>
      <c r="HE123" s="34" t="e">
        <f>AND(#REF!,"AAAAAGr+b9Q=")</f>
        <v>#REF!</v>
      </c>
      <c r="HF123" s="34" t="e">
        <f>AND(#REF!,"AAAAAGr+b9U=")</f>
        <v>#REF!</v>
      </c>
      <c r="HG123" s="34" t="e">
        <f>AND(#REF!,"AAAAAGr+b9Y=")</f>
        <v>#REF!</v>
      </c>
      <c r="HH123" s="34" t="e">
        <f>AND(#REF!,"AAAAAGr+b9c=")</f>
        <v>#REF!</v>
      </c>
      <c r="HI123" s="34" t="e">
        <f>AND(#REF!,"AAAAAGr+b9g=")</f>
        <v>#REF!</v>
      </c>
      <c r="HJ123" s="34" t="e">
        <f>AND(#REF!,"AAAAAGr+b9k=")</f>
        <v>#REF!</v>
      </c>
      <c r="HK123" s="34" t="e">
        <f>AND(#REF!,"AAAAAGr+b9o=")</f>
        <v>#REF!</v>
      </c>
      <c r="HL123" s="34" t="e">
        <f>AND(#REF!,"AAAAAGr+b9s=")</f>
        <v>#REF!</v>
      </c>
      <c r="HM123" s="34" t="e">
        <f>AND(#REF!,"AAAAAGr+b9w=")</f>
        <v>#REF!</v>
      </c>
      <c r="HN123" s="34" t="e">
        <f>IF(#REF!,"AAAAAGr+b90=",0)</f>
        <v>#REF!</v>
      </c>
      <c r="HO123" s="34" t="e">
        <f>AND(#REF!,"AAAAAGr+b94=")</f>
        <v>#REF!</v>
      </c>
      <c r="HP123" s="34" t="e">
        <f>AND(#REF!,"AAAAAGr+b98=")</f>
        <v>#REF!</v>
      </c>
      <c r="HQ123" s="34" t="e">
        <f>AND(#REF!,"AAAAAGr+b+A=")</f>
        <v>#REF!</v>
      </c>
      <c r="HR123" s="34" t="e">
        <f>AND(#REF!,"AAAAAGr+b+E=")</f>
        <v>#REF!</v>
      </c>
      <c r="HS123" s="34" t="e">
        <f>AND(#REF!,"AAAAAGr+b+I=")</f>
        <v>#REF!</v>
      </c>
      <c r="HT123" s="34" t="e">
        <f>AND(#REF!,"AAAAAGr+b+M=")</f>
        <v>#REF!</v>
      </c>
      <c r="HU123" s="34" t="e">
        <f>AND(#REF!,"AAAAAGr+b+Q=")</f>
        <v>#REF!</v>
      </c>
      <c r="HV123" s="34" t="e">
        <f>AND(#REF!,"AAAAAGr+b+U=")</f>
        <v>#REF!</v>
      </c>
      <c r="HW123" s="34" t="e">
        <f>AND(#REF!,"AAAAAGr+b+Y=")</f>
        <v>#REF!</v>
      </c>
      <c r="HX123" s="34" t="e">
        <f>AND(#REF!,"AAAAAGr+b+c=")</f>
        <v>#REF!</v>
      </c>
      <c r="HY123" s="34" t="e">
        <f>AND(#REF!,"AAAAAGr+b+g=")</f>
        <v>#REF!</v>
      </c>
      <c r="HZ123" s="34" t="e">
        <f>AND(#REF!,"AAAAAGr+b+k=")</f>
        <v>#REF!</v>
      </c>
      <c r="IA123" s="34" t="e">
        <f>AND(#REF!,"AAAAAGr+b+o=")</f>
        <v>#REF!</v>
      </c>
      <c r="IB123" s="34" t="e">
        <f>AND(#REF!,"AAAAAGr+b+s=")</f>
        <v>#REF!</v>
      </c>
      <c r="IC123" s="34" t="e">
        <f>AND(#REF!,"AAAAAGr+b+w=")</f>
        <v>#REF!</v>
      </c>
      <c r="ID123" s="34" t="e">
        <f>AND(#REF!,"AAAAAGr+b+0=")</f>
        <v>#REF!</v>
      </c>
      <c r="IE123" s="34" t="e">
        <f>AND(#REF!,"AAAAAGr+b+4=")</f>
        <v>#REF!</v>
      </c>
      <c r="IF123" s="34" t="e">
        <f>AND(#REF!,"AAAAAGr+b+8=")</f>
        <v>#REF!</v>
      </c>
      <c r="IG123" s="34" t="e">
        <f>AND(#REF!,"AAAAAGr+b/A=")</f>
        <v>#REF!</v>
      </c>
      <c r="IH123" s="34" t="e">
        <f>AND(#REF!,"AAAAAGr+b/E=")</f>
        <v>#REF!</v>
      </c>
      <c r="II123" s="34" t="e">
        <f>AND(#REF!,"AAAAAGr+b/I=")</f>
        <v>#REF!</v>
      </c>
      <c r="IJ123" s="34" t="e">
        <f>AND(#REF!,"AAAAAGr+b/M=")</f>
        <v>#REF!</v>
      </c>
      <c r="IK123" s="34" t="e">
        <f>AND(#REF!,"AAAAAGr+b/Q=")</f>
        <v>#REF!</v>
      </c>
      <c r="IL123" s="34" t="e">
        <f>AND(#REF!,"AAAAAGr+b/U=")</f>
        <v>#REF!</v>
      </c>
      <c r="IM123" s="34" t="e">
        <f>AND(#REF!,"AAAAAGr+b/Y=")</f>
        <v>#REF!</v>
      </c>
      <c r="IN123" s="34" t="e">
        <f>AND(#REF!,"AAAAAGr+b/c=")</f>
        <v>#REF!</v>
      </c>
      <c r="IO123" s="34" t="e">
        <f>AND(#REF!,"AAAAAGr+b/g=")</f>
        <v>#REF!</v>
      </c>
      <c r="IP123" s="34" t="e">
        <f>AND(#REF!,"AAAAAGr+b/k=")</f>
        <v>#REF!</v>
      </c>
      <c r="IQ123" s="34" t="e">
        <f>AND(#REF!,"AAAAAGr+b/o=")</f>
        <v>#REF!</v>
      </c>
      <c r="IR123" s="34" t="e">
        <f>AND(#REF!,"AAAAAGr+b/s=")</f>
        <v>#REF!</v>
      </c>
      <c r="IS123" s="34" t="e">
        <f>AND(#REF!,"AAAAAGr+b/w=")</f>
        <v>#REF!</v>
      </c>
      <c r="IT123" s="34" t="e">
        <f>AND(#REF!,"AAAAAGr+b/0=")</f>
        <v>#REF!</v>
      </c>
      <c r="IU123" s="34" t="e">
        <f>AND(#REF!,"AAAAAGr+b/4=")</f>
        <v>#REF!</v>
      </c>
      <c r="IV123" s="34" t="e">
        <f>AND(#REF!,"AAAAAGr+b/8=")</f>
        <v>#REF!</v>
      </c>
    </row>
    <row r="124" spans="1:256" ht="12.75" customHeight="1" x14ac:dyDescent="0.2">
      <c r="A124" s="34" t="e">
        <f>AND(#REF!,"AAAAAD/zZwA=")</f>
        <v>#REF!</v>
      </c>
      <c r="B124" s="34" t="e">
        <f>AND(#REF!,"AAAAAD/zZwE=")</f>
        <v>#REF!</v>
      </c>
      <c r="C124" s="34" t="e">
        <f>AND(#REF!,"AAAAAD/zZwI=")</f>
        <v>#REF!</v>
      </c>
      <c r="D124" s="34" t="e">
        <f>AND(#REF!,"AAAAAD/zZwM=")</f>
        <v>#REF!</v>
      </c>
      <c r="E124" s="34" t="e">
        <f>AND(#REF!,"AAAAAD/zZwQ=")</f>
        <v>#REF!</v>
      </c>
      <c r="F124" s="34" t="e">
        <f>AND(#REF!,"AAAAAD/zZwU=")</f>
        <v>#REF!</v>
      </c>
      <c r="G124" s="34" t="e">
        <f>AND(#REF!,"AAAAAD/zZwY=")</f>
        <v>#REF!</v>
      </c>
      <c r="H124" s="34" t="e">
        <f>AND(#REF!,"AAAAAD/zZwc=")</f>
        <v>#REF!</v>
      </c>
      <c r="I124" s="34" t="e">
        <f>IF(#REF!,"AAAAAD/zZwg=",0)</f>
        <v>#REF!</v>
      </c>
      <c r="J124" s="34" t="e">
        <f>AND(#REF!,"AAAAAD/zZwk=")</f>
        <v>#REF!</v>
      </c>
      <c r="K124" s="34" t="e">
        <f>AND(#REF!,"AAAAAD/zZwo=")</f>
        <v>#REF!</v>
      </c>
      <c r="L124" s="34" t="e">
        <f>AND(#REF!,"AAAAAD/zZws=")</f>
        <v>#REF!</v>
      </c>
      <c r="M124" s="34" t="e">
        <f>AND(#REF!,"AAAAAD/zZww=")</f>
        <v>#REF!</v>
      </c>
      <c r="N124" s="34" t="e">
        <f>AND(#REF!,"AAAAAD/zZw0=")</f>
        <v>#REF!</v>
      </c>
      <c r="O124" s="34" t="e">
        <f>AND(#REF!,"AAAAAD/zZw4=")</f>
        <v>#REF!</v>
      </c>
      <c r="P124" s="34" t="e">
        <f>AND(#REF!,"AAAAAD/zZw8=")</f>
        <v>#REF!</v>
      </c>
      <c r="Q124" s="34" t="e">
        <f>AND(#REF!,"AAAAAD/zZxA=")</f>
        <v>#REF!</v>
      </c>
      <c r="R124" s="34" t="e">
        <f>AND(#REF!,"AAAAAD/zZxE=")</f>
        <v>#REF!</v>
      </c>
      <c r="S124" s="34" t="e">
        <f>AND(#REF!,"AAAAAD/zZxI=")</f>
        <v>#REF!</v>
      </c>
      <c r="T124" s="34" t="e">
        <f>AND(#REF!,"AAAAAD/zZxM=")</f>
        <v>#REF!</v>
      </c>
      <c r="U124" s="34" t="e">
        <f>AND(#REF!,"AAAAAD/zZxQ=")</f>
        <v>#REF!</v>
      </c>
      <c r="V124" s="34" t="e">
        <f>AND(#REF!,"AAAAAD/zZxU=")</f>
        <v>#REF!</v>
      </c>
      <c r="W124" s="34" t="e">
        <f>AND(#REF!,"AAAAAD/zZxY=")</f>
        <v>#REF!</v>
      </c>
      <c r="X124" s="34" t="e">
        <f>AND(#REF!,"AAAAAD/zZxc=")</f>
        <v>#REF!</v>
      </c>
      <c r="Y124" s="34" t="e">
        <f>AND(#REF!,"AAAAAD/zZxg=")</f>
        <v>#REF!</v>
      </c>
      <c r="Z124" s="34" t="e">
        <f>AND(#REF!,"AAAAAD/zZxk=")</f>
        <v>#REF!</v>
      </c>
      <c r="AA124" s="34" t="e">
        <f>AND(#REF!,"AAAAAD/zZxo=")</f>
        <v>#REF!</v>
      </c>
      <c r="AB124" s="34" t="e">
        <f>AND(#REF!,"AAAAAD/zZxs=")</f>
        <v>#REF!</v>
      </c>
      <c r="AC124" s="34" t="e">
        <f>AND(#REF!,"AAAAAD/zZxw=")</f>
        <v>#REF!</v>
      </c>
      <c r="AD124" s="34" t="e">
        <f>AND(#REF!,"AAAAAD/zZx0=")</f>
        <v>#REF!</v>
      </c>
      <c r="AE124" s="34" t="e">
        <f>AND(#REF!,"AAAAAD/zZx4=")</f>
        <v>#REF!</v>
      </c>
      <c r="AF124" s="34" t="e">
        <f>AND(#REF!,"AAAAAD/zZx8=")</f>
        <v>#REF!</v>
      </c>
      <c r="AG124" s="34" t="e">
        <f>AND(#REF!,"AAAAAD/zZyA=")</f>
        <v>#REF!</v>
      </c>
      <c r="AH124" s="34" t="e">
        <f>AND(#REF!,"AAAAAD/zZyE=")</f>
        <v>#REF!</v>
      </c>
      <c r="AI124" s="34" t="e">
        <f>AND(#REF!,"AAAAAD/zZyI=")</f>
        <v>#REF!</v>
      </c>
      <c r="AJ124" s="34" t="e">
        <f>AND(#REF!,"AAAAAD/zZyM=")</f>
        <v>#REF!</v>
      </c>
      <c r="AK124" s="34" t="e">
        <f>AND(#REF!,"AAAAAD/zZyQ=")</f>
        <v>#REF!</v>
      </c>
      <c r="AL124" s="34" t="e">
        <f>AND(#REF!,"AAAAAD/zZyU=")</f>
        <v>#REF!</v>
      </c>
      <c r="AM124" s="34" t="e">
        <f>AND(#REF!,"AAAAAD/zZyY=")</f>
        <v>#REF!</v>
      </c>
      <c r="AN124" s="34" t="e">
        <f>AND(#REF!,"AAAAAD/zZyc=")</f>
        <v>#REF!</v>
      </c>
      <c r="AO124" s="34" t="e">
        <f>AND(#REF!,"AAAAAD/zZyg=")</f>
        <v>#REF!</v>
      </c>
      <c r="AP124" s="34" t="e">
        <f>AND(#REF!,"AAAAAD/zZyk=")</f>
        <v>#REF!</v>
      </c>
      <c r="AQ124" s="34" t="e">
        <f>AND(#REF!,"AAAAAD/zZyo=")</f>
        <v>#REF!</v>
      </c>
      <c r="AR124" s="34" t="e">
        <f>AND(#REF!,"AAAAAD/zZys=")</f>
        <v>#REF!</v>
      </c>
      <c r="AS124" s="34" t="e">
        <f>AND(#REF!,"AAAAAD/zZyw=")</f>
        <v>#REF!</v>
      </c>
      <c r="AT124" s="34" t="e">
        <f>AND(#REF!,"AAAAAD/zZy0=")</f>
        <v>#REF!</v>
      </c>
      <c r="AU124" s="34" t="e">
        <f>AND(#REF!,"AAAAAD/zZy4=")</f>
        <v>#REF!</v>
      </c>
      <c r="AV124" s="34" t="e">
        <f>AND(#REF!,"AAAAAD/zZy8=")</f>
        <v>#REF!</v>
      </c>
      <c r="AW124" s="34" t="e">
        <f>AND(#REF!,"AAAAAD/zZzA=")</f>
        <v>#REF!</v>
      </c>
      <c r="AX124" s="34" t="e">
        <f>AND(#REF!,"AAAAAD/zZzE=")</f>
        <v>#REF!</v>
      </c>
      <c r="AY124" s="34" t="e">
        <f>AND(#REF!,"AAAAAD/zZzI=")</f>
        <v>#REF!</v>
      </c>
      <c r="AZ124" s="34" t="e">
        <f>IF(#REF!,"AAAAAD/zZzM=",0)</f>
        <v>#REF!</v>
      </c>
      <c r="BA124" s="34" t="e">
        <f>AND(#REF!,"AAAAAD/zZzQ=")</f>
        <v>#REF!</v>
      </c>
      <c r="BB124" s="34" t="e">
        <f>AND(#REF!,"AAAAAD/zZzU=")</f>
        <v>#REF!</v>
      </c>
      <c r="BC124" s="34" t="e">
        <f>AND(#REF!,"AAAAAD/zZzY=")</f>
        <v>#REF!</v>
      </c>
      <c r="BD124" s="34" t="e">
        <f>AND(#REF!,"AAAAAD/zZzc=")</f>
        <v>#REF!</v>
      </c>
      <c r="BE124" s="34" t="e">
        <f>AND(#REF!,"AAAAAD/zZzg=")</f>
        <v>#REF!</v>
      </c>
      <c r="BF124" s="34" t="e">
        <f>AND(#REF!,"AAAAAD/zZzk=")</f>
        <v>#REF!</v>
      </c>
      <c r="BG124" s="34" t="e">
        <f>AND(#REF!,"AAAAAD/zZzo=")</f>
        <v>#REF!</v>
      </c>
      <c r="BH124" s="34" t="e">
        <f>AND(#REF!,"AAAAAD/zZzs=")</f>
        <v>#REF!</v>
      </c>
      <c r="BI124" s="34" t="e">
        <f>AND(#REF!,"AAAAAD/zZzw=")</f>
        <v>#REF!</v>
      </c>
      <c r="BJ124" s="34" t="e">
        <f>AND(#REF!,"AAAAAD/zZz0=")</f>
        <v>#REF!</v>
      </c>
      <c r="BK124" s="34" t="e">
        <f>AND(#REF!,"AAAAAD/zZz4=")</f>
        <v>#REF!</v>
      </c>
      <c r="BL124" s="34" t="e">
        <f>AND(#REF!,"AAAAAD/zZz8=")</f>
        <v>#REF!</v>
      </c>
      <c r="BM124" s="34" t="e">
        <f>AND(#REF!,"AAAAAD/zZ0A=")</f>
        <v>#REF!</v>
      </c>
      <c r="BN124" s="34" t="e">
        <f>AND(#REF!,"AAAAAD/zZ0E=")</f>
        <v>#REF!</v>
      </c>
      <c r="BO124" s="34" t="e">
        <f>AND(#REF!,"AAAAAD/zZ0I=")</f>
        <v>#REF!</v>
      </c>
      <c r="BP124" s="34" t="e">
        <f>AND(#REF!,"AAAAAD/zZ0M=")</f>
        <v>#REF!</v>
      </c>
      <c r="BQ124" s="34" t="e">
        <f>AND(#REF!,"AAAAAD/zZ0Q=")</f>
        <v>#REF!</v>
      </c>
      <c r="BR124" s="34" t="e">
        <f>AND(#REF!,"AAAAAD/zZ0U=")</f>
        <v>#REF!</v>
      </c>
      <c r="BS124" s="34" t="e">
        <f>AND(#REF!,"AAAAAD/zZ0Y=")</f>
        <v>#REF!</v>
      </c>
      <c r="BT124" s="34" t="e">
        <f>AND(#REF!,"AAAAAD/zZ0c=")</f>
        <v>#REF!</v>
      </c>
      <c r="BU124" s="34" t="e">
        <f>AND(#REF!,"AAAAAD/zZ0g=")</f>
        <v>#REF!</v>
      </c>
      <c r="BV124" s="34" t="e">
        <f>AND(#REF!,"AAAAAD/zZ0k=")</f>
        <v>#REF!</v>
      </c>
      <c r="BW124" s="34" t="e">
        <f>AND(#REF!,"AAAAAD/zZ0o=")</f>
        <v>#REF!</v>
      </c>
      <c r="BX124" s="34" t="e">
        <f>AND(#REF!,"AAAAAD/zZ0s=")</f>
        <v>#REF!</v>
      </c>
      <c r="BY124" s="34" t="e">
        <f>AND(#REF!,"AAAAAD/zZ0w=")</f>
        <v>#REF!</v>
      </c>
      <c r="BZ124" s="34" t="e">
        <f>AND(#REF!,"AAAAAD/zZ00=")</f>
        <v>#REF!</v>
      </c>
      <c r="CA124" s="34" t="e">
        <f>AND(#REF!,"AAAAAD/zZ04=")</f>
        <v>#REF!</v>
      </c>
      <c r="CB124" s="34" t="e">
        <f>AND(#REF!,"AAAAAD/zZ08=")</f>
        <v>#REF!</v>
      </c>
      <c r="CC124" s="34" t="e">
        <f>AND(#REF!,"AAAAAD/zZ1A=")</f>
        <v>#REF!</v>
      </c>
      <c r="CD124" s="34" t="e">
        <f>AND(#REF!,"AAAAAD/zZ1E=")</f>
        <v>#REF!</v>
      </c>
      <c r="CE124" s="34" t="e">
        <f>AND(#REF!,"AAAAAD/zZ1I=")</f>
        <v>#REF!</v>
      </c>
      <c r="CF124" s="34" t="e">
        <f>AND(#REF!,"AAAAAD/zZ1M=")</f>
        <v>#REF!</v>
      </c>
      <c r="CG124" s="34" t="e">
        <f>AND(#REF!,"AAAAAD/zZ1Q=")</f>
        <v>#REF!</v>
      </c>
      <c r="CH124" s="34" t="e">
        <f>AND(#REF!,"AAAAAD/zZ1U=")</f>
        <v>#REF!</v>
      </c>
      <c r="CI124" s="34" t="e">
        <f>AND(#REF!,"AAAAAD/zZ1Y=")</f>
        <v>#REF!</v>
      </c>
      <c r="CJ124" s="34" t="e">
        <f>AND(#REF!,"AAAAAD/zZ1c=")</f>
        <v>#REF!</v>
      </c>
      <c r="CK124" s="34" t="e">
        <f>AND(#REF!,"AAAAAD/zZ1g=")</f>
        <v>#REF!</v>
      </c>
      <c r="CL124" s="34" t="e">
        <f>AND(#REF!,"AAAAAD/zZ1k=")</f>
        <v>#REF!</v>
      </c>
      <c r="CM124" s="34" t="e">
        <f>AND(#REF!,"AAAAAD/zZ1o=")</f>
        <v>#REF!</v>
      </c>
      <c r="CN124" s="34" t="e">
        <f>AND(#REF!,"AAAAAD/zZ1s=")</f>
        <v>#REF!</v>
      </c>
      <c r="CO124" s="34" t="e">
        <f>AND(#REF!,"AAAAAD/zZ1w=")</f>
        <v>#REF!</v>
      </c>
      <c r="CP124" s="34" t="e">
        <f>AND(#REF!,"AAAAAD/zZ10=")</f>
        <v>#REF!</v>
      </c>
      <c r="CQ124" s="34" t="e">
        <f>IF(#REF!,"AAAAAD/zZ14=",0)</f>
        <v>#REF!</v>
      </c>
      <c r="CR124" s="34" t="e">
        <f>AND(#REF!,"AAAAAD/zZ18=")</f>
        <v>#REF!</v>
      </c>
      <c r="CS124" s="34" t="e">
        <f>AND(#REF!,"AAAAAD/zZ2A=")</f>
        <v>#REF!</v>
      </c>
      <c r="CT124" s="34" t="e">
        <f>AND(#REF!,"AAAAAD/zZ2E=")</f>
        <v>#REF!</v>
      </c>
      <c r="CU124" s="34" t="e">
        <f>AND(#REF!,"AAAAAD/zZ2I=")</f>
        <v>#REF!</v>
      </c>
      <c r="CV124" s="34" t="e">
        <f>AND(#REF!,"AAAAAD/zZ2M=")</f>
        <v>#REF!</v>
      </c>
      <c r="CW124" s="34" t="e">
        <f>AND(#REF!,"AAAAAD/zZ2Q=")</f>
        <v>#REF!</v>
      </c>
      <c r="CX124" s="34" t="e">
        <f>AND(#REF!,"AAAAAD/zZ2U=")</f>
        <v>#REF!</v>
      </c>
      <c r="CY124" s="34" t="e">
        <f>AND(#REF!,"AAAAAD/zZ2Y=")</f>
        <v>#REF!</v>
      </c>
      <c r="CZ124" s="34" t="e">
        <f>AND(#REF!,"AAAAAD/zZ2c=")</f>
        <v>#REF!</v>
      </c>
      <c r="DA124" s="34" t="e">
        <f>AND(#REF!,"AAAAAD/zZ2g=")</f>
        <v>#REF!</v>
      </c>
      <c r="DB124" s="34" t="e">
        <f>AND(#REF!,"AAAAAD/zZ2k=")</f>
        <v>#REF!</v>
      </c>
      <c r="DC124" s="34" t="e">
        <f>AND(#REF!,"AAAAAD/zZ2o=")</f>
        <v>#REF!</v>
      </c>
      <c r="DD124" s="34" t="e">
        <f>AND(#REF!,"AAAAAD/zZ2s=")</f>
        <v>#REF!</v>
      </c>
      <c r="DE124" s="34" t="e">
        <f>AND(#REF!,"AAAAAD/zZ2w=")</f>
        <v>#REF!</v>
      </c>
      <c r="DF124" s="34" t="e">
        <f>AND(#REF!,"AAAAAD/zZ20=")</f>
        <v>#REF!</v>
      </c>
      <c r="DG124" s="34" t="e">
        <f>AND(#REF!,"AAAAAD/zZ24=")</f>
        <v>#REF!</v>
      </c>
      <c r="DH124" s="34" t="e">
        <f>AND(#REF!,"AAAAAD/zZ28=")</f>
        <v>#REF!</v>
      </c>
      <c r="DI124" s="34" t="e">
        <f>AND(#REF!,"AAAAAD/zZ3A=")</f>
        <v>#REF!</v>
      </c>
      <c r="DJ124" s="34" t="e">
        <f>AND(#REF!,"AAAAAD/zZ3E=")</f>
        <v>#REF!</v>
      </c>
      <c r="DK124" s="34" t="e">
        <f>AND(#REF!,"AAAAAD/zZ3I=")</f>
        <v>#REF!</v>
      </c>
      <c r="DL124" s="34" t="e">
        <f>AND(#REF!,"AAAAAD/zZ3M=")</f>
        <v>#REF!</v>
      </c>
      <c r="DM124" s="34" t="e">
        <f>AND(#REF!,"AAAAAD/zZ3Q=")</f>
        <v>#REF!</v>
      </c>
      <c r="DN124" s="34" t="e">
        <f>AND(#REF!,"AAAAAD/zZ3U=")</f>
        <v>#REF!</v>
      </c>
      <c r="DO124" s="34" t="e">
        <f>AND(#REF!,"AAAAAD/zZ3Y=")</f>
        <v>#REF!</v>
      </c>
      <c r="DP124" s="34" t="e">
        <f>AND(#REF!,"AAAAAD/zZ3c=")</f>
        <v>#REF!</v>
      </c>
      <c r="DQ124" s="34" t="e">
        <f>AND(#REF!,"AAAAAD/zZ3g=")</f>
        <v>#REF!</v>
      </c>
      <c r="DR124" s="34" t="e">
        <f>AND(#REF!,"AAAAAD/zZ3k=")</f>
        <v>#REF!</v>
      </c>
      <c r="DS124" s="34" t="e">
        <f>AND(#REF!,"AAAAAD/zZ3o=")</f>
        <v>#REF!</v>
      </c>
      <c r="DT124" s="34" t="e">
        <f>AND(#REF!,"AAAAAD/zZ3s=")</f>
        <v>#REF!</v>
      </c>
      <c r="DU124" s="34" t="e">
        <f>AND(#REF!,"AAAAAD/zZ3w=")</f>
        <v>#REF!</v>
      </c>
      <c r="DV124" s="34" t="e">
        <f>AND(#REF!,"AAAAAD/zZ30=")</f>
        <v>#REF!</v>
      </c>
      <c r="DW124" s="34" t="e">
        <f>AND(#REF!,"AAAAAD/zZ34=")</f>
        <v>#REF!</v>
      </c>
      <c r="DX124" s="34" t="e">
        <f>AND(#REF!,"AAAAAD/zZ38=")</f>
        <v>#REF!</v>
      </c>
      <c r="DY124" s="34" t="e">
        <f>AND(#REF!,"AAAAAD/zZ4A=")</f>
        <v>#REF!</v>
      </c>
      <c r="DZ124" s="34" t="e">
        <f>AND(#REF!,"AAAAAD/zZ4E=")</f>
        <v>#REF!</v>
      </c>
      <c r="EA124" s="34" t="e">
        <f>AND(#REF!,"AAAAAD/zZ4I=")</f>
        <v>#REF!</v>
      </c>
      <c r="EB124" s="34" t="e">
        <f>AND(#REF!,"AAAAAD/zZ4M=")</f>
        <v>#REF!</v>
      </c>
      <c r="EC124" s="34" t="e">
        <f>AND(#REF!,"AAAAAD/zZ4Q=")</f>
        <v>#REF!</v>
      </c>
      <c r="ED124" s="34" t="e">
        <f>AND(#REF!,"AAAAAD/zZ4U=")</f>
        <v>#REF!</v>
      </c>
      <c r="EE124" s="34" t="e">
        <f>AND(#REF!,"AAAAAD/zZ4Y=")</f>
        <v>#REF!</v>
      </c>
      <c r="EF124" s="34" t="e">
        <f>AND(#REF!,"AAAAAD/zZ4c=")</f>
        <v>#REF!</v>
      </c>
      <c r="EG124" s="34" t="e">
        <f>AND(#REF!,"AAAAAD/zZ4g=")</f>
        <v>#REF!</v>
      </c>
      <c r="EH124" s="34" t="e">
        <f>IF(#REF!,"AAAAAD/zZ4k=",0)</f>
        <v>#REF!</v>
      </c>
      <c r="EI124" s="34" t="e">
        <f>AND(#REF!,"AAAAAD/zZ4o=")</f>
        <v>#REF!</v>
      </c>
      <c r="EJ124" s="34" t="e">
        <f>AND(#REF!,"AAAAAD/zZ4s=")</f>
        <v>#REF!</v>
      </c>
      <c r="EK124" s="34" t="e">
        <f>AND(#REF!,"AAAAAD/zZ4w=")</f>
        <v>#REF!</v>
      </c>
      <c r="EL124" s="34" t="e">
        <f>AND(#REF!,"AAAAAD/zZ40=")</f>
        <v>#REF!</v>
      </c>
      <c r="EM124" s="34" t="e">
        <f>AND(#REF!,"AAAAAD/zZ44=")</f>
        <v>#REF!</v>
      </c>
      <c r="EN124" s="34" t="e">
        <f>AND(#REF!,"AAAAAD/zZ48=")</f>
        <v>#REF!</v>
      </c>
      <c r="EO124" s="34" t="e">
        <f>AND(#REF!,"AAAAAD/zZ5A=")</f>
        <v>#REF!</v>
      </c>
      <c r="EP124" s="34" t="e">
        <f>AND(#REF!,"AAAAAD/zZ5E=")</f>
        <v>#REF!</v>
      </c>
      <c r="EQ124" s="34" t="e">
        <f>AND(#REF!,"AAAAAD/zZ5I=")</f>
        <v>#REF!</v>
      </c>
      <c r="ER124" s="34" t="e">
        <f>AND(#REF!,"AAAAAD/zZ5M=")</f>
        <v>#REF!</v>
      </c>
      <c r="ES124" s="34" t="e">
        <f>AND(#REF!,"AAAAAD/zZ5Q=")</f>
        <v>#REF!</v>
      </c>
      <c r="ET124" s="34" t="e">
        <f>AND(#REF!,"AAAAAD/zZ5U=")</f>
        <v>#REF!</v>
      </c>
      <c r="EU124" s="34" t="e">
        <f>AND(#REF!,"AAAAAD/zZ5Y=")</f>
        <v>#REF!</v>
      </c>
      <c r="EV124" s="34" t="e">
        <f>AND(#REF!,"AAAAAD/zZ5c=")</f>
        <v>#REF!</v>
      </c>
      <c r="EW124" s="34" t="e">
        <f>AND(#REF!,"AAAAAD/zZ5g=")</f>
        <v>#REF!</v>
      </c>
      <c r="EX124" s="34" t="e">
        <f>AND(#REF!,"AAAAAD/zZ5k=")</f>
        <v>#REF!</v>
      </c>
      <c r="EY124" s="34" t="e">
        <f>AND(#REF!,"AAAAAD/zZ5o=")</f>
        <v>#REF!</v>
      </c>
      <c r="EZ124" s="34" t="e">
        <f>AND(#REF!,"AAAAAD/zZ5s=")</f>
        <v>#REF!</v>
      </c>
      <c r="FA124" s="34" t="e">
        <f>AND(#REF!,"AAAAAD/zZ5w=")</f>
        <v>#REF!</v>
      </c>
      <c r="FB124" s="34" t="e">
        <f>AND(#REF!,"AAAAAD/zZ50=")</f>
        <v>#REF!</v>
      </c>
      <c r="FC124" s="34" t="e">
        <f>AND(#REF!,"AAAAAD/zZ54=")</f>
        <v>#REF!</v>
      </c>
      <c r="FD124" s="34" t="e">
        <f>AND(#REF!,"AAAAAD/zZ58=")</f>
        <v>#REF!</v>
      </c>
      <c r="FE124" s="34" t="e">
        <f>AND(#REF!,"AAAAAD/zZ6A=")</f>
        <v>#REF!</v>
      </c>
      <c r="FF124" s="34" t="e">
        <f>AND(#REF!,"AAAAAD/zZ6E=")</f>
        <v>#REF!</v>
      </c>
      <c r="FG124" s="34" t="e">
        <f>AND(#REF!,"AAAAAD/zZ6I=")</f>
        <v>#REF!</v>
      </c>
      <c r="FH124" s="34" t="e">
        <f>AND(#REF!,"AAAAAD/zZ6M=")</f>
        <v>#REF!</v>
      </c>
      <c r="FI124" s="34" t="e">
        <f>AND(#REF!,"AAAAAD/zZ6Q=")</f>
        <v>#REF!</v>
      </c>
      <c r="FJ124" s="34" t="e">
        <f>AND(#REF!,"AAAAAD/zZ6U=")</f>
        <v>#REF!</v>
      </c>
      <c r="FK124" s="34" t="e">
        <f>AND(#REF!,"AAAAAD/zZ6Y=")</f>
        <v>#REF!</v>
      </c>
      <c r="FL124" s="34" t="e">
        <f>AND(#REF!,"AAAAAD/zZ6c=")</f>
        <v>#REF!</v>
      </c>
      <c r="FM124" s="34" t="e">
        <f>AND(#REF!,"AAAAAD/zZ6g=")</f>
        <v>#REF!</v>
      </c>
      <c r="FN124" s="34" t="e">
        <f>AND(#REF!,"AAAAAD/zZ6k=")</f>
        <v>#REF!</v>
      </c>
      <c r="FO124" s="34" t="e">
        <f>AND(#REF!,"AAAAAD/zZ6o=")</f>
        <v>#REF!</v>
      </c>
      <c r="FP124" s="34" t="e">
        <f>AND(#REF!,"AAAAAD/zZ6s=")</f>
        <v>#REF!</v>
      </c>
      <c r="FQ124" s="34" t="e">
        <f>AND(#REF!,"AAAAAD/zZ6w=")</f>
        <v>#REF!</v>
      </c>
      <c r="FR124" s="34" t="e">
        <f>AND(#REF!,"AAAAAD/zZ60=")</f>
        <v>#REF!</v>
      </c>
      <c r="FS124" s="34" t="e">
        <f>AND(#REF!,"AAAAAD/zZ64=")</f>
        <v>#REF!</v>
      </c>
      <c r="FT124" s="34" t="e">
        <f>AND(#REF!,"AAAAAD/zZ68=")</f>
        <v>#REF!</v>
      </c>
      <c r="FU124" s="34" t="e">
        <f>AND(#REF!,"AAAAAD/zZ7A=")</f>
        <v>#REF!</v>
      </c>
      <c r="FV124" s="34" t="e">
        <f>AND(#REF!,"AAAAAD/zZ7E=")</f>
        <v>#REF!</v>
      </c>
      <c r="FW124" s="34" t="e">
        <f>AND(#REF!,"AAAAAD/zZ7I=")</f>
        <v>#REF!</v>
      </c>
      <c r="FX124" s="34" t="e">
        <f>AND(#REF!,"AAAAAD/zZ7M=")</f>
        <v>#REF!</v>
      </c>
      <c r="FY124" s="34" t="e">
        <f>IF(#REF!,"AAAAAD/zZ7Q=",0)</f>
        <v>#REF!</v>
      </c>
      <c r="FZ124" s="34" t="e">
        <f>AND(#REF!,"AAAAAD/zZ7U=")</f>
        <v>#REF!</v>
      </c>
      <c r="GA124" s="34" t="e">
        <f>AND(#REF!,"AAAAAD/zZ7Y=")</f>
        <v>#REF!</v>
      </c>
      <c r="GB124" s="34" t="e">
        <f>AND(#REF!,"AAAAAD/zZ7c=")</f>
        <v>#REF!</v>
      </c>
      <c r="GC124" s="34" t="e">
        <f>AND(#REF!,"AAAAAD/zZ7g=")</f>
        <v>#REF!</v>
      </c>
      <c r="GD124" s="34" t="e">
        <f>AND(#REF!,"AAAAAD/zZ7k=")</f>
        <v>#REF!</v>
      </c>
      <c r="GE124" s="34" t="e">
        <f>AND(#REF!,"AAAAAD/zZ7o=")</f>
        <v>#REF!</v>
      </c>
      <c r="GF124" s="34" t="e">
        <f>AND(#REF!,"AAAAAD/zZ7s=")</f>
        <v>#REF!</v>
      </c>
      <c r="GG124" s="34" t="e">
        <f>AND(#REF!,"AAAAAD/zZ7w=")</f>
        <v>#REF!</v>
      </c>
      <c r="GH124" s="34" t="e">
        <f>AND(#REF!,"AAAAAD/zZ70=")</f>
        <v>#REF!</v>
      </c>
      <c r="GI124" s="34" t="e">
        <f>AND(#REF!,"AAAAAD/zZ74=")</f>
        <v>#REF!</v>
      </c>
      <c r="GJ124" s="34" t="e">
        <f>AND(#REF!,"AAAAAD/zZ78=")</f>
        <v>#REF!</v>
      </c>
      <c r="GK124" s="34" t="e">
        <f>AND(#REF!,"AAAAAD/zZ8A=")</f>
        <v>#REF!</v>
      </c>
      <c r="GL124" s="34" t="e">
        <f>AND(#REF!,"AAAAAD/zZ8E=")</f>
        <v>#REF!</v>
      </c>
      <c r="GM124" s="34" t="e">
        <f>AND(#REF!,"AAAAAD/zZ8I=")</f>
        <v>#REF!</v>
      </c>
      <c r="GN124" s="34" t="e">
        <f>AND(#REF!,"AAAAAD/zZ8M=")</f>
        <v>#REF!</v>
      </c>
      <c r="GO124" s="34" t="e">
        <f>AND(#REF!,"AAAAAD/zZ8Q=")</f>
        <v>#REF!</v>
      </c>
      <c r="GP124" s="34" t="e">
        <f>AND(#REF!,"AAAAAD/zZ8U=")</f>
        <v>#REF!</v>
      </c>
      <c r="GQ124" s="34" t="e">
        <f>AND(#REF!,"AAAAAD/zZ8Y=")</f>
        <v>#REF!</v>
      </c>
      <c r="GR124" s="34" t="e">
        <f>AND(#REF!,"AAAAAD/zZ8c=")</f>
        <v>#REF!</v>
      </c>
      <c r="GS124" s="34" t="e">
        <f>AND(#REF!,"AAAAAD/zZ8g=")</f>
        <v>#REF!</v>
      </c>
      <c r="GT124" s="34" t="e">
        <f>AND(#REF!,"AAAAAD/zZ8k=")</f>
        <v>#REF!</v>
      </c>
      <c r="GU124" s="34" t="e">
        <f>AND(#REF!,"AAAAAD/zZ8o=")</f>
        <v>#REF!</v>
      </c>
      <c r="GV124" s="34" t="e">
        <f>AND(#REF!,"AAAAAD/zZ8s=")</f>
        <v>#REF!</v>
      </c>
      <c r="GW124" s="34" t="e">
        <f>AND(#REF!,"AAAAAD/zZ8w=")</f>
        <v>#REF!</v>
      </c>
      <c r="GX124" s="34" t="e">
        <f>AND(#REF!,"AAAAAD/zZ80=")</f>
        <v>#REF!</v>
      </c>
      <c r="GY124" s="34" t="e">
        <f>AND(#REF!,"AAAAAD/zZ84=")</f>
        <v>#REF!</v>
      </c>
      <c r="GZ124" s="34" t="e">
        <f>AND(#REF!,"AAAAAD/zZ88=")</f>
        <v>#REF!</v>
      </c>
      <c r="HA124" s="34" t="e">
        <f>AND(#REF!,"AAAAAD/zZ9A=")</f>
        <v>#REF!</v>
      </c>
      <c r="HB124" s="34" t="e">
        <f>AND(#REF!,"AAAAAD/zZ9E=")</f>
        <v>#REF!</v>
      </c>
      <c r="HC124" s="34" t="e">
        <f>AND(#REF!,"AAAAAD/zZ9I=")</f>
        <v>#REF!</v>
      </c>
      <c r="HD124" s="34" t="e">
        <f>AND(#REF!,"AAAAAD/zZ9M=")</f>
        <v>#REF!</v>
      </c>
      <c r="HE124" s="34" t="e">
        <f>AND(#REF!,"AAAAAD/zZ9Q=")</f>
        <v>#REF!</v>
      </c>
      <c r="HF124" s="34" t="e">
        <f>AND(#REF!,"AAAAAD/zZ9U=")</f>
        <v>#REF!</v>
      </c>
      <c r="HG124" s="34" t="e">
        <f>AND(#REF!,"AAAAAD/zZ9Y=")</f>
        <v>#REF!</v>
      </c>
      <c r="HH124" s="34" t="e">
        <f>AND(#REF!,"AAAAAD/zZ9c=")</f>
        <v>#REF!</v>
      </c>
      <c r="HI124" s="34" t="e">
        <f>AND(#REF!,"AAAAAD/zZ9g=")</f>
        <v>#REF!</v>
      </c>
      <c r="HJ124" s="34" t="e">
        <f>AND(#REF!,"AAAAAD/zZ9k=")</f>
        <v>#REF!</v>
      </c>
      <c r="HK124" s="34" t="e">
        <f>AND(#REF!,"AAAAAD/zZ9o=")</f>
        <v>#REF!</v>
      </c>
      <c r="HL124" s="34" t="e">
        <f>AND(#REF!,"AAAAAD/zZ9s=")</f>
        <v>#REF!</v>
      </c>
      <c r="HM124" s="34" t="e">
        <f>AND(#REF!,"AAAAAD/zZ9w=")</f>
        <v>#REF!</v>
      </c>
      <c r="HN124" s="34" t="e">
        <f>AND(#REF!,"AAAAAD/zZ90=")</f>
        <v>#REF!</v>
      </c>
      <c r="HO124" s="34" t="e">
        <f>AND(#REF!,"AAAAAD/zZ94=")</f>
        <v>#REF!</v>
      </c>
      <c r="HP124" s="34" t="e">
        <f>IF(#REF!,"AAAAAD/zZ98=",0)</f>
        <v>#REF!</v>
      </c>
      <c r="HQ124" s="34" t="e">
        <f>AND(#REF!,"AAAAAD/zZ+A=")</f>
        <v>#REF!</v>
      </c>
      <c r="HR124" s="34" t="e">
        <f>AND(#REF!,"AAAAAD/zZ+E=")</f>
        <v>#REF!</v>
      </c>
      <c r="HS124" s="34" t="e">
        <f>AND(#REF!,"AAAAAD/zZ+I=")</f>
        <v>#REF!</v>
      </c>
      <c r="HT124" s="34" t="e">
        <f>AND(#REF!,"AAAAAD/zZ+M=")</f>
        <v>#REF!</v>
      </c>
      <c r="HU124" s="34" t="e">
        <f>AND(#REF!,"AAAAAD/zZ+Q=")</f>
        <v>#REF!</v>
      </c>
      <c r="HV124" s="34" t="e">
        <f>AND(#REF!,"AAAAAD/zZ+U=")</f>
        <v>#REF!</v>
      </c>
      <c r="HW124" s="34" t="e">
        <f>AND(#REF!,"AAAAAD/zZ+Y=")</f>
        <v>#REF!</v>
      </c>
      <c r="HX124" s="34" t="e">
        <f>AND(#REF!,"AAAAAD/zZ+c=")</f>
        <v>#REF!</v>
      </c>
      <c r="HY124" s="34" t="e">
        <f>AND(#REF!,"AAAAAD/zZ+g=")</f>
        <v>#REF!</v>
      </c>
      <c r="HZ124" s="34" t="e">
        <f>AND(#REF!,"AAAAAD/zZ+k=")</f>
        <v>#REF!</v>
      </c>
      <c r="IA124" s="34" t="e">
        <f>AND(#REF!,"AAAAAD/zZ+o=")</f>
        <v>#REF!</v>
      </c>
      <c r="IB124" s="34" t="e">
        <f>AND(#REF!,"AAAAAD/zZ+s=")</f>
        <v>#REF!</v>
      </c>
      <c r="IC124" s="34" t="e">
        <f>AND(#REF!,"AAAAAD/zZ+w=")</f>
        <v>#REF!</v>
      </c>
      <c r="ID124" s="34" t="e">
        <f>AND(#REF!,"AAAAAD/zZ+0=")</f>
        <v>#REF!</v>
      </c>
      <c r="IE124" s="34" t="e">
        <f>AND(#REF!,"AAAAAD/zZ+4=")</f>
        <v>#REF!</v>
      </c>
      <c r="IF124" s="34" t="e">
        <f>AND(#REF!,"AAAAAD/zZ+8=")</f>
        <v>#REF!</v>
      </c>
      <c r="IG124" s="34" t="e">
        <f>AND(#REF!,"AAAAAD/zZ/A=")</f>
        <v>#REF!</v>
      </c>
      <c r="IH124" s="34" t="e">
        <f>AND(#REF!,"AAAAAD/zZ/E=")</f>
        <v>#REF!</v>
      </c>
      <c r="II124" s="34" t="e">
        <f>AND(#REF!,"AAAAAD/zZ/I=")</f>
        <v>#REF!</v>
      </c>
      <c r="IJ124" s="34" t="e">
        <f>AND(#REF!,"AAAAAD/zZ/M=")</f>
        <v>#REF!</v>
      </c>
      <c r="IK124" s="34" t="e">
        <f>AND(#REF!,"AAAAAD/zZ/Q=")</f>
        <v>#REF!</v>
      </c>
      <c r="IL124" s="34" t="e">
        <f>AND(#REF!,"AAAAAD/zZ/U=")</f>
        <v>#REF!</v>
      </c>
      <c r="IM124" s="34" t="e">
        <f>AND(#REF!,"AAAAAD/zZ/Y=")</f>
        <v>#REF!</v>
      </c>
      <c r="IN124" s="34" t="e">
        <f>AND(#REF!,"AAAAAD/zZ/c=")</f>
        <v>#REF!</v>
      </c>
      <c r="IO124" s="34" t="e">
        <f>AND(#REF!,"AAAAAD/zZ/g=")</f>
        <v>#REF!</v>
      </c>
      <c r="IP124" s="34" t="e">
        <f>AND(#REF!,"AAAAAD/zZ/k=")</f>
        <v>#REF!</v>
      </c>
      <c r="IQ124" s="34" t="e">
        <f>AND(#REF!,"AAAAAD/zZ/o=")</f>
        <v>#REF!</v>
      </c>
      <c r="IR124" s="34" t="e">
        <f>AND(#REF!,"AAAAAD/zZ/s=")</f>
        <v>#REF!</v>
      </c>
      <c r="IS124" s="34" t="e">
        <f>AND(#REF!,"AAAAAD/zZ/w=")</f>
        <v>#REF!</v>
      </c>
      <c r="IT124" s="34" t="e">
        <f>AND(#REF!,"AAAAAD/zZ/0=")</f>
        <v>#REF!</v>
      </c>
      <c r="IU124" s="34" t="e">
        <f>AND(#REF!,"AAAAAD/zZ/4=")</f>
        <v>#REF!</v>
      </c>
      <c r="IV124" s="34" t="e">
        <f>AND(#REF!,"AAAAAD/zZ/8=")</f>
        <v>#REF!</v>
      </c>
    </row>
    <row r="125" spans="1:256" ht="12.75" customHeight="1" x14ac:dyDescent="0.2">
      <c r="A125" s="34" t="e">
        <f>AND(#REF!,"AAAAAH/b/QA=")</f>
        <v>#REF!</v>
      </c>
      <c r="B125" s="34" t="e">
        <f>AND(#REF!,"AAAAAH/b/QE=")</f>
        <v>#REF!</v>
      </c>
      <c r="C125" s="34" t="e">
        <f>AND(#REF!,"AAAAAH/b/QI=")</f>
        <v>#REF!</v>
      </c>
      <c r="D125" s="34" t="e">
        <f>AND(#REF!,"AAAAAH/b/QM=")</f>
        <v>#REF!</v>
      </c>
      <c r="E125" s="34" t="e">
        <f>AND(#REF!,"AAAAAH/b/QQ=")</f>
        <v>#REF!</v>
      </c>
      <c r="F125" s="34" t="e">
        <f>AND(#REF!,"AAAAAH/b/QU=")</f>
        <v>#REF!</v>
      </c>
      <c r="G125" s="34" t="e">
        <f>AND(#REF!,"AAAAAH/b/QY=")</f>
        <v>#REF!</v>
      </c>
      <c r="H125" s="34" t="e">
        <f>AND(#REF!,"AAAAAH/b/Qc=")</f>
        <v>#REF!</v>
      </c>
      <c r="I125" s="34" t="e">
        <f>AND(#REF!,"AAAAAH/b/Qg=")</f>
        <v>#REF!</v>
      </c>
      <c r="J125" s="34" t="e">
        <f>AND(#REF!,"AAAAAH/b/Qk=")</f>
        <v>#REF!</v>
      </c>
      <c r="K125" s="34" t="e">
        <f>IF(#REF!,"AAAAAH/b/Qo=",0)</f>
        <v>#REF!</v>
      </c>
      <c r="L125" s="34" t="e">
        <f>AND(#REF!,"AAAAAH/b/Qs=")</f>
        <v>#REF!</v>
      </c>
      <c r="M125" s="34" t="e">
        <f>AND(#REF!,"AAAAAH/b/Qw=")</f>
        <v>#REF!</v>
      </c>
      <c r="N125" s="34" t="e">
        <f>AND(#REF!,"AAAAAH/b/Q0=")</f>
        <v>#REF!</v>
      </c>
      <c r="O125" s="34" t="e">
        <f>AND(#REF!,"AAAAAH/b/Q4=")</f>
        <v>#REF!</v>
      </c>
      <c r="P125" s="34" t="e">
        <f>AND(#REF!,"AAAAAH/b/Q8=")</f>
        <v>#REF!</v>
      </c>
      <c r="Q125" s="34" t="e">
        <f>AND(#REF!,"AAAAAH/b/RA=")</f>
        <v>#REF!</v>
      </c>
      <c r="R125" s="34" t="e">
        <f>AND(#REF!,"AAAAAH/b/RE=")</f>
        <v>#REF!</v>
      </c>
      <c r="S125" s="34" t="e">
        <f>AND(#REF!,"AAAAAH/b/RI=")</f>
        <v>#REF!</v>
      </c>
      <c r="T125" s="34" t="e">
        <f>AND(#REF!,"AAAAAH/b/RM=")</f>
        <v>#REF!</v>
      </c>
      <c r="U125" s="34" t="e">
        <f>AND(#REF!,"AAAAAH/b/RQ=")</f>
        <v>#REF!</v>
      </c>
      <c r="V125" s="34" t="e">
        <f>AND(#REF!,"AAAAAH/b/RU=")</f>
        <v>#REF!</v>
      </c>
      <c r="W125" s="34" t="e">
        <f>AND(#REF!,"AAAAAH/b/RY=")</f>
        <v>#REF!</v>
      </c>
      <c r="X125" s="34" t="e">
        <f>AND(#REF!,"AAAAAH/b/Rc=")</f>
        <v>#REF!</v>
      </c>
      <c r="Y125" s="34" t="e">
        <f>AND(#REF!,"AAAAAH/b/Rg=")</f>
        <v>#REF!</v>
      </c>
      <c r="Z125" s="34" t="e">
        <f>AND(#REF!,"AAAAAH/b/Rk=")</f>
        <v>#REF!</v>
      </c>
      <c r="AA125" s="34" t="e">
        <f>AND(#REF!,"AAAAAH/b/Ro=")</f>
        <v>#REF!</v>
      </c>
      <c r="AB125" s="34" t="e">
        <f>AND(#REF!,"AAAAAH/b/Rs=")</f>
        <v>#REF!</v>
      </c>
      <c r="AC125" s="34" t="e">
        <f>AND(#REF!,"AAAAAH/b/Rw=")</f>
        <v>#REF!</v>
      </c>
      <c r="AD125" s="34" t="e">
        <f>AND(#REF!,"AAAAAH/b/R0=")</f>
        <v>#REF!</v>
      </c>
      <c r="AE125" s="34" t="e">
        <f>AND(#REF!,"AAAAAH/b/R4=")</f>
        <v>#REF!</v>
      </c>
      <c r="AF125" s="34" t="e">
        <f>AND(#REF!,"AAAAAH/b/R8=")</f>
        <v>#REF!</v>
      </c>
      <c r="AG125" s="34" t="e">
        <f>AND(#REF!,"AAAAAH/b/SA=")</f>
        <v>#REF!</v>
      </c>
      <c r="AH125" s="34" t="e">
        <f>AND(#REF!,"AAAAAH/b/SE=")</f>
        <v>#REF!</v>
      </c>
      <c r="AI125" s="34" t="e">
        <f>AND(#REF!,"AAAAAH/b/SI=")</f>
        <v>#REF!</v>
      </c>
      <c r="AJ125" s="34" t="e">
        <f>AND(#REF!,"AAAAAH/b/SM=")</f>
        <v>#REF!</v>
      </c>
      <c r="AK125" s="34" t="e">
        <f>AND(#REF!,"AAAAAH/b/SQ=")</f>
        <v>#REF!</v>
      </c>
      <c r="AL125" s="34" t="e">
        <f>AND(#REF!,"AAAAAH/b/SU=")</f>
        <v>#REF!</v>
      </c>
      <c r="AM125" s="34" t="e">
        <f>AND(#REF!,"AAAAAH/b/SY=")</f>
        <v>#REF!</v>
      </c>
      <c r="AN125" s="34" t="e">
        <f>AND(#REF!,"AAAAAH/b/Sc=")</f>
        <v>#REF!</v>
      </c>
      <c r="AO125" s="34" t="e">
        <f>AND(#REF!,"AAAAAH/b/Sg=")</f>
        <v>#REF!</v>
      </c>
      <c r="AP125" s="34" t="e">
        <f>AND(#REF!,"AAAAAH/b/Sk=")</f>
        <v>#REF!</v>
      </c>
      <c r="AQ125" s="34" t="e">
        <f>AND(#REF!,"AAAAAH/b/So=")</f>
        <v>#REF!</v>
      </c>
      <c r="AR125" s="34" t="e">
        <f>AND(#REF!,"AAAAAH/b/Ss=")</f>
        <v>#REF!</v>
      </c>
      <c r="AS125" s="34" t="e">
        <f>AND(#REF!,"AAAAAH/b/Sw=")</f>
        <v>#REF!</v>
      </c>
      <c r="AT125" s="34" t="e">
        <f>AND(#REF!,"AAAAAH/b/S0=")</f>
        <v>#REF!</v>
      </c>
      <c r="AU125" s="34" t="e">
        <f>AND(#REF!,"AAAAAH/b/S4=")</f>
        <v>#REF!</v>
      </c>
      <c r="AV125" s="34" t="e">
        <f>AND(#REF!,"AAAAAH/b/S8=")</f>
        <v>#REF!</v>
      </c>
      <c r="AW125" s="34" t="e">
        <f>AND(#REF!,"AAAAAH/b/TA=")</f>
        <v>#REF!</v>
      </c>
      <c r="AX125" s="34" t="e">
        <f>AND(#REF!,"AAAAAH/b/TE=")</f>
        <v>#REF!</v>
      </c>
      <c r="AY125" s="34" t="e">
        <f>AND(#REF!,"AAAAAH/b/TI=")</f>
        <v>#REF!</v>
      </c>
      <c r="AZ125" s="34" t="e">
        <f>AND(#REF!,"AAAAAH/b/TM=")</f>
        <v>#REF!</v>
      </c>
      <c r="BA125" s="34" t="e">
        <f>AND(#REF!,"AAAAAH/b/TQ=")</f>
        <v>#REF!</v>
      </c>
      <c r="BB125" s="34" t="e">
        <f>IF(#REF!,"AAAAAH/b/TU=",0)</f>
        <v>#REF!</v>
      </c>
      <c r="BC125" s="34" t="e">
        <f>AND(#REF!,"AAAAAH/b/TY=")</f>
        <v>#REF!</v>
      </c>
      <c r="BD125" s="34" t="e">
        <f>AND(#REF!,"AAAAAH/b/Tc=")</f>
        <v>#REF!</v>
      </c>
      <c r="BE125" s="34" t="e">
        <f>AND(#REF!,"AAAAAH/b/Tg=")</f>
        <v>#REF!</v>
      </c>
      <c r="BF125" s="34" t="e">
        <f>AND(#REF!,"AAAAAH/b/Tk=")</f>
        <v>#REF!</v>
      </c>
      <c r="BG125" s="34" t="e">
        <f>AND(#REF!,"AAAAAH/b/To=")</f>
        <v>#REF!</v>
      </c>
      <c r="BH125" s="34" t="e">
        <f>AND(#REF!,"AAAAAH/b/Ts=")</f>
        <v>#REF!</v>
      </c>
      <c r="BI125" s="34" t="e">
        <f>AND(#REF!,"AAAAAH/b/Tw=")</f>
        <v>#REF!</v>
      </c>
      <c r="BJ125" s="34" t="e">
        <f>AND(#REF!,"AAAAAH/b/T0=")</f>
        <v>#REF!</v>
      </c>
      <c r="BK125" s="34" t="e">
        <f>AND(#REF!,"AAAAAH/b/T4=")</f>
        <v>#REF!</v>
      </c>
      <c r="BL125" s="34" t="e">
        <f>AND(#REF!,"AAAAAH/b/T8=")</f>
        <v>#REF!</v>
      </c>
      <c r="BM125" s="34" t="e">
        <f>AND(#REF!,"AAAAAH/b/UA=")</f>
        <v>#REF!</v>
      </c>
      <c r="BN125" s="34" t="e">
        <f>AND(#REF!,"AAAAAH/b/UE=")</f>
        <v>#REF!</v>
      </c>
      <c r="BO125" s="34" t="e">
        <f>AND(#REF!,"AAAAAH/b/UI=")</f>
        <v>#REF!</v>
      </c>
      <c r="BP125" s="34" t="e">
        <f>AND(#REF!,"AAAAAH/b/UM=")</f>
        <v>#REF!</v>
      </c>
      <c r="BQ125" s="34" t="e">
        <f>AND(#REF!,"AAAAAH/b/UQ=")</f>
        <v>#REF!</v>
      </c>
      <c r="BR125" s="34" t="e">
        <f>AND(#REF!,"AAAAAH/b/UU=")</f>
        <v>#REF!</v>
      </c>
      <c r="BS125" s="34" t="e">
        <f>AND(#REF!,"AAAAAH/b/UY=")</f>
        <v>#REF!</v>
      </c>
      <c r="BT125" s="34" t="e">
        <f>AND(#REF!,"AAAAAH/b/Uc=")</f>
        <v>#REF!</v>
      </c>
      <c r="BU125" s="34" t="e">
        <f>AND(#REF!,"AAAAAH/b/Ug=")</f>
        <v>#REF!</v>
      </c>
      <c r="BV125" s="34" t="e">
        <f>AND(#REF!,"AAAAAH/b/Uk=")</f>
        <v>#REF!</v>
      </c>
      <c r="BW125" s="34" t="e">
        <f>AND(#REF!,"AAAAAH/b/Uo=")</f>
        <v>#REF!</v>
      </c>
      <c r="BX125" s="34" t="e">
        <f>AND(#REF!,"AAAAAH/b/Us=")</f>
        <v>#REF!</v>
      </c>
      <c r="BY125" s="34" t="e">
        <f>AND(#REF!,"AAAAAH/b/Uw=")</f>
        <v>#REF!</v>
      </c>
      <c r="BZ125" s="34" t="e">
        <f>AND(#REF!,"AAAAAH/b/U0=")</f>
        <v>#REF!</v>
      </c>
      <c r="CA125" s="34" t="e">
        <f>AND(#REF!,"AAAAAH/b/U4=")</f>
        <v>#REF!</v>
      </c>
      <c r="CB125" s="34" t="e">
        <f>AND(#REF!,"AAAAAH/b/U8=")</f>
        <v>#REF!</v>
      </c>
      <c r="CC125" s="34" t="e">
        <f>AND(#REF!,"AAAAAH/b/VA=")</f>
        <v>#REF!</v>
      </c>
      <c r="CD125" s="34" t="e">
        <f>AND(#REF!,"AAAAAH/b/VE=")</f>
        <v>#REF!</v>
      </c>
      <c r="CE125" s="34" t="e">
        <f>AND(#REF!,"AAAAAH/b/VI=")</f>
        <v>#REF!</v>
      </c>
      <c r="CF125" s="34" t="e">
        <f>AND(#REF!,"AAAAAH/b/VM=")</f>
        <v>#REF!</v>
      </c>
      <c r="CG125" s="34" t="e">
        <f>AND(#REF!,"AAAAAH/b/VQ=")</f>
        <v>#REF!</v>
      </c>
      <c r="CH125" s="34" t="e">
        <f>AND(#REF!,"AAAAAH/b/VU=")</f>
        <v>#REF!</v>
      </c>
      <c r="CI125" s="34" t="e">
        <f>AND(#REF!,"AAAAAH/b/VY=")</f>
        <v>#REF!</v>
      </c>
      <c r="CJ125" s="34" t="e">
        <f>AND(#REF!,"AAAAAH/b/Vc=")</f>
        <v>#REF!</v>
      </c>
      <c r="CK125" s="34" t="e">
        <f>AND(#REF!,"AAAAAH/b/Vg=")</f>
        <v>#REF!</v>
      </c>
      <c r="CL125" s="34" t="e">
        <f>AND(#REF!,"AAAAAH/b/Vk=")</f>
        <v>#REF!</v>
      </c>
      <c r="CM125" s="34" t="e">
        <f>AND(#REF!,"AAAAAH/b/Vo=")</f>
        <v>#REF!</v>
      </c>
      <c r="CN125" s="34" t="e">
        <f>AND(#REF!,"AAAAAH/b/Vs=")</f>
        <v>#REF!</v>
      </c>
      <c r="CO125" s="34" t="e">
        <f>AND(#REF!,"AAAAAH/b/Vw=")</f>
        <v>#REF!</v>
      </c>
      <c r="CP125" s="34" t="e">
        <f>AND(#REF!,"AAAAAH/b/V0=")</f>
        <v>#REF!</v>
      </c>
      <c r="CQ125" s="34" t="e">
        <f>AND(#REF!,"AAAAAH/b/V4=")</f>
        <v>#REF!</v>
      </c>
      <c r="CR125" s="34" t="e">
        <f>AND(#REF!,"AAAAAH/b/V8=")</f>
        <v>#REF!</v>
      </c>
      <c r="CS125" s="34" t="e">
        <f>IF(#REF!,"AAAAAH/b/WA=",0)</f>
        <v>#REF!</v>
      </c>
      <c r="CT125" s="34" t="e">
        <f>AND(#REF!,"AAAAAH/b/WE=")</f>
        <v>#REF!</v>
      </c>
      <c r="CU125" s="34" t="e">
        <f>AND(#REF!,"AAAAAH/b/WI=")</f>
        <v>#REF!</v>
      </c>
      <c r="CV125" s="34" t="e">
        <f>AND(#REF!,"AAAAAH/b/WM=")</f>
        <v>#REF!</v>
      </c>
      <c r="CW125" s="34" t="e">
        <f>AND(#REF!,"AAAAAH/b/WQ=")</f>
        <v>#REF!</v>
      </c>
      <c r="CX125" s="34" t="e">
        <f>AND(#REF!,"AAAAAH/b/WU=")</f>
        <v>#REF!</v>
      </c>
      <c r="CY125" s="34" t="e">
        <f>AND(#REF!,"AAAAAH/b/WY=")</f>
        <v>#REF!</v>
      </c>
      <c r="CZ125" s="34" t="e">
        <f>AND(#REF!,"AAAAAH/b/Wc=")</f>
        <v>#REF!</v>
      </c>
      <c r="DA125" s="34" t="e">
        <f>AND(#REF!,"AAAAAH/b/Wg=")</f>
        <v>#REF!</v>
      </c>
      <c r="DB125" s="34" t="e">
        <f>AND(#REF!,"AAAAAH/b/Wk=")</f>
        <v>#REF!</v>
      </c>
      <c r="DC125" s="34" t="e">
        <f>AND(#REF!,"AAAAAH/b/Wo=")</f>
        <v>#REF!</v>
      </c>
      <c r="DD125" s="34" t="e">
        <f>AND(#REF!,"AAAAAH/b/Ws=")</f>
        <v>#REF!</v>
      </c>
      <c r="DE125" s="34" t="e">
        <f>AND(#REF!,"AAAAAH/b/Ww=")</f>
        <v>#REF!</v>
      </c>
      <c r="DF125" s="34" t="e">
        <f>AND(#REF!,"AAAAAH/b/W0=")</f>
        <v>#REF!</v>
      </c>
      <c r="DG125" s="34" t="e">
        <f>AND(#REF!,"AAAAAH/b/W4=")</f>
        <v>#REF!</v>
      </c>
      <c r="DH125" s="34" t="e">
        <f>AND(#REF!,"AAAAAH/b/W8=")</f>
        <v>#REF!</v>
      </c>
      <c r="DI125" s="34" t="e">
        <f>AND(#REF!,"AAAAAH/b/XA=")</f>
        <v>#REF!</v>
      </c>
      <c r="DJ125" s="34" t="e">
        <f>AND(#REF!,"AAAAAH/b/XE=")</f>
        <v>#REF!</v>
      </c>
      <c r="DK125" s="34" t="e">
        <f>AND(#REF!,"AAAAAH/b/XI=")</f>
        <v>#REF!</v>
      </c>
      <c r="DL125" s="34" t="e">
        <f>AND(#REF!,"AAAAAH/b/XM=")</f>
        <v>#REF!</v>
      </c>
      <c r="DM125" s="34" t="e">
        <f>AND(#REF!,"AAAAAH/b/XQ=")</f>
        <v>#REF!</v>
      </c>
      <c r="DN125" s="34" t="e">
        <f>AND(#REF!,"AAAAAH/b/XU=")</f>
        <v>#REF!</v>
      </c>
      <c r="DO125" s="34" t="e">
        <f>AND(#REF!,"AAAAAH/b/XY=")</f>
        <v>#REF!</v>
      </c>
      <c r="DP125" s="34" t="e">
        <f>AND(#REF!,"AAAAAH/b/Xc=")</f>
        <v>#REF!</v>
      </c>
      <c r="DQ125" s="34" t="e">
        <f>AND(#REF!,"AAAAAH/b/Xg=")</f>
        <v>#REF!</v>
      </c>
      <c r="DR125" s="34" t="e">
        <f>AND(#REF!,"AAAAAH/b/Xk=")</f>
        <v>#REF!</v>
      </c>
      <c r="DS125" s="34" t="e">
        <f>AND(#REF!,"AAAAAH/b/Xo=")</f>
        <v>#REF!</v>
      </c>
      <c r="DT125" s="34" t="e">
        <f>AND(#REF!,"AAAAAH/b/Xs=")</f>
        <v>#REF!</v>
      </c>
      <c r="DU125" s="34" t="e">
        <f>AND(#REF!,"AAAAAH/b/Xw=")</f>
        <v>#REF!</v>
      </c>
      <c r="DV125" s="34" t="e">
        <f>AND(#REF!,"AAAAAH/b/X0=")</f>
        <v>#REF!</v>
      </c>
      <c r="DW125" s="34" t="e">
        <f>AND(#REF!,"AAAAAH/b/X4=")</f>
        <v>#REF!</v>
      </c>
      <c r="DX125" s="34" t="e">
        <f>AND(#REF!,"AAAAAH/b/X8=")</f>
        <v>#REF!</v>
      </c>
      <c r="DY125" s="34" t="e">
        <f>AND(#REF!,"AAAAAH/b/YA=")</f>
        <v>#REF!</v>
      </c>
      <c r="DZ125" s="34" t="e">
        <f>AND(#REF!,"AAAAAH/b/YE=")</f>
        <v>#REF!</v>
      </c>
      <c r="EA125" s="34" t="e">
        <f>AND(#REF!,"AAAAAH/b/YI=")</f>
        <v>#REF!</v>
      </c>
      <c r="EB125" s="34" t="e">
        <f>AND(#REF!,"AAAAAH/b/YM=")</f>
        <v>#REF!</v>
      </c>
      <c r="EC125" s="34" t="e">
        <f>AND(#REF!,"AAAAAH/b/YQ=")</f>
        <v>#REF!</v>
      </c>
      <c r="ED125" s="34" t="e">
        <f>AND(#REF!,"AAAAAH/b/YU=")</f>
        <v>#REF!</v>
      </c>
      <c r="EE125" s="34" t="e">
        <f>AND(#REF!,"AAAAAH/b/YY=")</f>
        <v>#REF!</v>
      </c>
      <c r="EF125" s="34" t="e">
        <f>AND(#REF!,"AAAAAH/b/Yc=")</f>
        <v>#REF!</v>
      </c>
      <c r="EG125" s="34" t="e">
        <f>AND(#REF!,"AAAAAH/b/Yg=")</f>
        <v>#REF!</v>
      </c>
      <c r="EH125" s="34" t="e">
        <f>AND(#REF!,"AAAAAH/b/Yk=")</f>
        <v>#REF!</v>
      </c>
      <c r="EI125" s="34" t="e">
        <f>AND(#REF!,"AAAAAH/b/Yo=")</f>
        <v>#REF!</v>
      </c>
      <c r="EJ125" s="34" t="e">
        <f>IF(#REF!,"AAAAAH/b/Ys=",0)</f>
        <v>#REF!</v>
      </c>
      <c r="EK125" s="34" t="e">
        <f>AND(#REF!,"AAAAAH/b/Yw=")</f>
        <v>#REF!</v>
      </c>
      <c r="EL125" s="34" t="e">
        <f>AND(#REF!,"AAAAAH/b/Y0=")</f>
        <v>#REF!</v>
      </c>
      <c r="EM125" s="34" t="e">
        <f>AND(#REF!,"AAAAAH/b/Y4=")</f>
        <v>#REF!</v>
      </c>
      <c r="EN125" s="34" t="e">
        <f>AND(#REF!,"AAAAAH/b/Y8=")</f>
        <v>#REF!</v>
      </c>
      <c r="EO125" s="34" t="e">
        <f>AND(#REF!,"AAAAAH/b/ZA=")</f>
        <v>#REF!</v>
      </c>
      <c r="EP125" s="34" t="e">
        <f>AND(#REF!,"AAAAAH/b/ZE=")</f>
        <v>#REF!</v>
      </c>
      <c r="EQ125" s="34" t="e">
        <f>AND(#REF!,"AAAAAH/b/ZI=")</f>
        <v>#REF!</v>
      </c>
      <c r="ER125" s="34" t="e">
        <f>AND(#REF!,"AAAAAH/b/ZM=")</f>
        <v>#REF!</v>
      </c>
      <c r="ES125" s="34" t="e">
        <f>AND(#REF!,"AAAAAH/b/ZQ=")</f>
        <v>#REF!</v>
      </c>
      <c r="ET125" s="34" t="e">
        <f>AND(#REF!,"AAAAAH/b/ZU=")</f>
        <v>#REF!</v>
      </c>
      <c r="EU125" s="34" t="e">
        <f>AND(#REF!,"AAAAAH/b/ZY=")</f>
        <v>#REF!</v>
      </c>
      <c r="EV125" s="34" t="e">
        <f>AND(#REF!,"AAAAAH/b/Zc=")</f>
        <v>#REF!</v>
      </c>
      <c r="EW125" s="34" t="e">
        <f>AND(#REF!,"AAAAAH/b/Zg=")</f>
        <v>#REF!</v>
      </c>
      <c r="EX125" s="34" t="e">
        <f>AND(#REF!,"AAAAAH/b/Zk=")</f>
        <v>#REF!</v>
      </c>
      <c r="EY125" s="34" t="e">
        <f>AND(#REF!,"AAAAAH/b/Zo=")</f>
        <v>#REF!</v>
      </c>
      <c r="EZ125" s="34" t="e">
        <f>AND(#REF!,"AAAAAH/b/Zs=")</f>
        <v>#REF!</v>
      </c>
      <c r="FA125" s="34" t="e">
        <f>AND(#REF!,"AAAAAH/b/Zw=")</f>
        <v>#REF!</v>
      </c>
      <c r="FB125" s="34" t="e">
        <f>AND(#REF!,"AAAAAH/b/Z0=")</f>
        <v>#REF!</v>
      </c>
      <c r="FC125" s="34" t="e">
        <f>AND(#REF!,"AAAAAH/b/Z4=")</f>
        <v>#REF!</v>
      </c>
      <c r="FD125" s="34" t="e">
        <f>AND(#REF!,"AAAAAH/b/Z8=")</f>
        <v>#REF!</v>
      </c>
      <c r="FE125" s="34" t="e">
        <f>AND(#REF!,"AAAAAH/b/aA=")</f>
        <v>#REF!</v>
      </c>
      <c r="FF125" s="34" t="e">
        <f>AND(#REF!,"AAAAAH/b/aE=")</f>
        <v>#REF!</v>
      </c>
      <c r="FG125" s="34" t="e">
        <f>AND(#REF!,"AAAAAH/b/aI=")</f>
        <v>#REF!</v>
      </c>
      <c r="FH125" s="34" t="e">
        <f>AND(#REF!,"AAAAAH/b/aM=")</f>
        <v>#REF!</v>
      </c>
      <c r="FI125" s="34" t="e">
        <f>AND(#REF!,"AAAAAH/b/aQ=")</f>
        <v>#REF!</v>
      </c>
      <c r="FJ125" s="34" t="e">
        <f>AND(#REF!,"AAAAAH/b/aU=")</f>
        <v>#REF!</v>
      </c>
      <c r="FK125" s="34" t="e">
        <f>AND(#REF!,"AAAAAH/b/aY=")</f>
        <v>#REF!</v>
      </c>
      <c r="FL125" s="34" t="e">
        <f>AND(#REF!,"AAAAAH/b/ac=")</f>
        <v>#REF!</v>
      </c>
      <c r="FM125" s="34" t="e">
        <f>AND(#REF!,"AAAAAH/b/ag=")</f>
        <v>#REF!</v>
      </c>
      <c r="FN125" s="34" t="e">
        <f>AND(#REF!,"AAAAAH/b/ak=")</f>
        <v>#REF!</v>
      </c>
      <c r="FO125" s="34" t="e">
        <f>AND(#REF!,"AAAAAH/b/ao=")</f>
        <v>#REF!</v>
      </c>
      <c r="FP125" s="34" t="e">
        <f>AND(#REF!,"AAAAAH/b/as=")</f>
        <v>#REF!</v>
      </c>
      <c r="FQ125" s="34" t="e">
        <f>AND(#REF!,"AAAAAH/b/aw=")</f>
        <v>#REF!</v>
      </c>
      <c r="FR125" s="34" t="e">
        <f>AND(#REF!,"AAAAAH/b/a0=")</f>
        <v>#REF!</v>
      </c>
      <c r="FS125" s="34" t="e">
        <f>AND(#REF!,"AAAAAH/b/a4=")</f>
        <v>#REF!</v>
      </c>
      <c r="FT125" s="34" t="e">
        <f>AND(#REF!,"AAAAAH/b/a8=")</f>
        <v>#REF!</v>
      </c>
      <c r="FU125" s="34" t="e">
        <f>AND(#REF!,"AAAAAH/b/bA=")</f>
        <v>#REF!</v>
      </c>
      <c r="FV125" s="34" t="e">
        <f>AND(#REF!,"AAAAAH/b/bE=")</f>
        <v>#REF!</v>
      </c>
      <c r="FW125" s="34" t="e">
        <f>AND(#REF!,"AAAAAH/b/bI=")</f>
        <v>#REF!</v>
      </c>
      <c r="FX125" s="34" t="e">
        <f>AND(#REF!,"AAAAAH/b/bM=")</f>
        <v>#REF!</v>
      </c>
      <c r="FY125" s="34" t="e">
        <f>AND(#REF!,"AAAAAH/b/bQ=")</f>
        <v>#REF!</v>
      </c>
      <c r="FZ125" s="34" t="e">
        <f>AND(#REF!,"AAAAAH/b/bU=")</f>
        <v>#REF!</v>
      </c>
      <c r="GA125" s="34" t="e">
        <f>IF(#REF!,"AAAAAH/b/bY=",0)</f>
        <v>#REF!</v>
      </c>
      <c r="GB125" s="34" t="e">
        <f>AND(#REF!,"AAAAAH/b/bc=")</f>
        <v>#REF!</v>
      </c>
      <c r="GC125" s="34" t="e">
        <f>AND(#REF!,"AAAAAH/b/bg=")</f>
        <v>#REF!</v>
      </c>
      <c r="GD125" s="34" t="e">
        <f>AND(#REF!,"AAAAAH/b/bk=")</f>
        <v>#REF!</v>
      </c>
      <c r="GE125" s="34" t="e">
        <f>AND(#REF!,"AAAAAH/b/bo=")</f>
        <v>#REF!</v>
      </c>
      <c r="GF125" s="34" t="e">
        <f>AND(#REF!,"AAAAAH/b/bs=")</f>
        <v>#REF!</v>
      </c>
      <c r="GG125" s="34" t="e">
        <f>AND(#REF!,"AAAAAH/b/bw=")</f>
        <v>#REF!</v>
      </c>
      <c r="GH125" s="34" t="e">
        <f>AND(#REF!,"AAAAAH/b/b0=")</f>
        <v>#REF!</v>
      </c>
      <c r="GI125" s="34" t="e">
        <f>AND(#REF!,"AAAAAH/b/b4=")</f>
        <v>#REF!</v>
      </c>
      <c r="GJ125" s="34" t="e">
        <f>AND(#REF!,"AAAAAH/b/b8=")</f>
        <v>#REF!</v>
      </c>
      <c r="GK125" s="34" t="e">
        <f>AND(#REF!,"AAAAAH/b/cA=")</f>
        <v>#REF!</v>
      </c>
      <c r="GL125" s="34" t="e">
        <f>AND(#REF!,"AAAAAH/b/cE=")</f>
        <v>#REF!</v>
      </c>
      <c r="GM125" s="34" t="e">
        <f>AND(#REF!,"AAAAAH/b/cI=")</f>
        <v>#REF!</v>
      </c>
      <c r="GN125" s="34" t="e">
        <f>AND(#REF!,"AAAAAH/b/cM=")</f>
        <v>#REF!</v>
      </c>
      <c r="GO125" s="34" t="e">
        <f>AND(#REF!,"AAAAAH/b/cQ=")</f>
        <v>#REF!</v>
      </c>
      <c r="GP125" s="34" t="e">
        <f>AND(#REF!,"AAAAAH/b/cU=")</f>
        <v>#REF!</v>
      </c>
      <c r="GQ125" s="34" t="e">
        <f>AND(#REF!,"AAAAAH/b/cY=")</f>
        <v>#REF!</v>
      </c>
      <c r="GR125" s="34" t="e">
        <f>AND(#REF!,"AAAAAH/b/cc=")</f>
        <v>#REF!</v>
      </c>
      <c r="GS125" s="34" t="e">
        <f>AND(#REF!,"AAAAAH/b/cg=")</f>
        <v>#REF!</v>
      </c>
      <c r="GT125" s="34" t="e">
        <f>AND(#REF!,"AAAAAH/b/ck=")</f>
        <v>#REF!</v>
      </c>
      <c r="GU125" s="34" t="e">
        <f>AND(#REF!,"AAAAAH/b/co=")</f>
        <v>#REF!</v>
      </c>
      <c r="GV125" s="34" t="e">
        <f>AND(#REF!,"AAAAAH/b/cs=")</f>
        <v>#REF!</v>
      </c>
      <c r="GW125" s="34" t="e">
        <f>AND(#REF!,"AAAAAH/b/cw=")</f>
        <v>#REF!</v>
      </c>
      <c r="GX125" s="34" t="e">
        <f>AND(#REF!,"AAAAAH/b/c0=")</f>
        <v>#REF!</v>
      </c>
      <c r="GY125" s="34" t="e">
        <f>AND(#REF!,"AAAAAH/b/c4=")</f>
        <v>#REF!</v>
      </c>
      <c r="GZ125" s="34" t="e">
        <f>AND(#REF!,"AAAAAH/b/c8=")</f>
        <v>#REF!</v>
      </c>
      <c r="HA125" s="34" t="e">
        <f>AND(#REF!,"AAAAAH/b/dA=")</f>
        <v>#REF!</v>
      </c>
      <c r="HB125" s="34" t="e">
        <f>AND(#REF!,"AAAAAH/b/dE=")</f>
        <v>#REF!</v>
      </c>
      <c r="HC125" s="34" t="e">
        <f>AND(#REF!,"AAAAAH/b/dI=")</f>
        <v>#REF!</v>
      </c>
      <c r="HD125" s="34" t="e">
        <f>AND(#REF!,"AAAAAH/b/dM=")</f>
        <v>#REF!</v>
      </c>
      <c r="HE125" s="34" t="e">
        <f>AND(#REF!,"AAAAAH/b/dQ=")</f>
        <v>#REF!</v>
      </c>
      <c r="HF125" s="34" t="e">
        <f>AND(#REF!,"AAAAAH/b/dU=")</f>
        <v>#REF!</v>
      </c>
      <c r="HG125" s="34" t="e">
        <f>AND(#REF!,"AAAAAH/b/dY=")</f>
        <v>#REF!</v>
      </c>
      <c r="HH125" s="34" t="e">
        <f>AND(#REF!,"AAAAAH/b/dc=")</f>
        <v>#REF!</v>
      </c>
      <c r="HI125" s="34" t="e">
        <f>AND(#REF!,"AAAAAH/b/dg=")</f>
        <v>#REF!</v>
      </c>
      <c r="HJ125" s="34" t="e">
        <f>AND(#REF!,"AAAAAH/b/dk=")</f>
        <v>#REF!</v>
      </c>
      <c r="HK125" s="34" t="e">
        <f>AND(#REF!,"AAAAAH/b/do=")</f>
        <v>#REF!</v>
      </c>
      <c r="HL125" s="34" t="e">
        <f>AND(#REF!,"AAAAAH/b/ds=")</f>
        <v>#REF!</v>
      </c>
      <c r="HM125" s="34" t="e">
        <f>AND(#REF!,"AAAAAH/b/dw=")</f>
        <v>#REF!</v>
      </c>
      <c r="HN125" s="34" t="e">
        <f>AND(#REF!,"AAAAAH/b/d0=")</f>
        <v>#REF!</v>
      </c>
      <c r="HO125" s="34" t="e">
        <f>AND(#REF!,"AAAAAH/b/d4=")</f>
        <v>#REF!</v>
      </c>
      <c r="HP125" s="34" t="e">
        <f>AND(#REF!,"AAAAAH/b/d8=")</f>
        <v>#REF!</v>
      </c>
      <c r="HQ125" s="34" t="e">
        <f>AND(#REF!,"AAAAAH/b/eA=")</f>
        <v>#REF!</v>
      </c>
      <c r="HR125" s="34" t="e">
        <f>IF(#REF!,"AAAAAH/b/eE=",0)</f>
        <v>#REF!</v>
      </c>
      <c r="HS125" s="34" t="e">
        <f>AND(#REF!,"AAAAAH/b/eI=")</f>
        <v>#REF!</v>
      </c>
      <c r="HT125" s="34" t="e">
        <f>AND(#REF!,"AAAAAH/b/eM=")</f>
        <v>#REF!</v>
      </c>
      <c r="HU125" s="34" t="e">
        <f>AND(#REF!,"AAAAAH/b/eQ=")</f>
        <v>#REF!</v>
      </c>
      <c r="HV125" s="34" t="e">
        <f>AND(#REF!,"AAAAAH/b/eU=")</f>
        <v>#REF!</v>
      </c>
      <c r="HW125" s="34" t="e">
        <f>AND(#REF!,"AAAAAH/b/eY=")</f>
        <v>#REF!</v>
      </c>
      <c r="HX125" s="34" t="e">
        <f>AND(#REF!,"AAAAAH/b/ec=")</f>
        <v>#REF!</v>
      </c>
      <c r="HY125" s="34" t="e">
        <f>AND(#REF!,"AAAAAH/b/eg=")</f>
        <v>#REF!</v>
      </c>
      <c r="HZ125" s="34" t="e">
        <f>AND(#REF!,"AAAAAH/b/ek=")</f>
        <v>#REF!</v>
      </c>
      <c r="IA125" s="34" t="e">
        <f>AND(#REF!,"AAAAAH/b/eo=")</f>
        <v>#REF!</v>
      </c>
      <c r="IB125" s="34" t="e">
        <f>AND(#REF!,"AAAAAH/b/es=")</f>
        <v>#REF!</v>
      </c>
      <c r="IC125" s="34" t="e">
        <f>AND(#REF!,"AAAAAH/b/ew=")</f>
        <v>#REF!</v>
      </c>
      <c r="ID125" s="34" t="e">
        <f>AND(#REF!,"AAAAAH/b/e0=")</f>
        <v>#REF!</v>
      </c>
      <c r="IE125" s="34" t="e">
        <f>AND(#REF!,"AAAAAH/b/e4=")</f>
        <v>#REF!</v>
      </c>
      <c r="IF125" s="34" t="e">
        <f>AND(#REF!,"AAAAAH/b/e8=")</f>
        <v>#REF!</v>
      </c>
      <c r="IG125" s="34" t="e">
        <f>AND(#REF!,"AAAAAH/b/fA=")</f>
        <v>#REF!</v>
      </c>
      <c r="IH125" s="34" t="e">
        <f>AND(#REF!,"AAAAAH/b/fE=")</f>
        <v>#REF!</v>
      </c>
      <c r="II125" s="34" t="e">
        <f>AND(#REF!,"AAAAAH/b/fI=")</f>
        <v>#REF!</v>
      </c>
      <c r="IJ125" s="34" t="e">
        <f>AND(#REF!,"AAAAAH/b/fM=")</f>
        <v>#REF!</v>
      </c>
      <c r="IK125" s="34" t="e">
        <f>AND(#REF!,"AAAAAH/b/fQ=")</f>
        <v>#REF!</v>
      </c>
      <c r="IL125" s="34" t="e">
        <f>AND(#REF!,"AAAAAH/b/fU=")</f>
        <v>#REF!</v>
      </c>
      <c r="IM125" s="34" t="e">
        <f>AND(#REF!,"AAAAAH/b/fY=")</f>
        <v>#REF!</v>
      </c>
      <c r="IN125" s="34" t="e">
        <f>AND(#REF!,"AAAAAH/b/fc=")</f>
        <v>#REF!</v>
      </c>
      <c r="IO125" s="34" t="e">
        <f>AND(#REF!,"AAAAAH/b/fg=")</f>
        <v>#REF!</v>
      </c>
      <c r="IP125" s="34" t="e">
        <f>AND(#REF!,"AAAAAH/b/fk=")</f>
        <v>#REF!</v>
      </c>
      <c r="IQ125" s="34" t="e">
        <f>AND(#REF!,"AAAAAH/b/fo=")</f>
        <v>#REF!</v>
      </c>
      <c r="IR125" s="34" t="e">
        <f>AND(#REF!,"AAAAAH/b/fs=")</f>
        <v>#REF!</v>
      </c>
      <c r="IS125" s="34" t="e">
        <f>AND(#REF!,"AAAAAH/b/fw=")</f>
        <v>#REF!</v>
      </c>
      <c r="IT125" s="34" t="e">
        <f>AND(#REF!,"AAAAAH/b/f0=")</f>
        <v>#REF!</v>
      </c>
      <c r="IU125" s="34" t="e">
        <f>AND(#REF!,"AAAAAH/b/f4=")</f>
        <v>#REF!</v>
      </c>
      <c r="IV125" s="34" t="e">
        <f>AND(#REF!,"AAAAAH/b/f8=")</f>
        <v>#REF!</v>
      </c>
    </row>
    <row r="126" spans="1:256" ht="12.75" customHeight="1" x14ac:dyDescent="0.2">
      <c r="A126" s="34" t="e">
        <f>AND(#REF!,"AAAAAG/5/QA=")</f>
        <v>#REF!</v>
      </c>
      <c r="B126" s="34" t="e">
        <f>AND(#REF!,"AAAAAG/5/QE=")</f>
        <v>#REF!</v>
      </c>
      <c r="C126" s="34" t="e">
        <f>AND(#REF!,"AAAAAG/5/QI=")</f>
        <v>#REF!</v>
      </c>
      <c r="D126" s="34" t="e">
        <f>AND(#REF!,"AAAAAG/5/QM=")</f>
        <v>#REF!</v>
      </c>
      <c r="E126" s="34" t="e">
        <f>AND(#REF!,"AAAAAG/5/QQ=")</f>
        <v>#REF!</v>
      </c>
      <c r="F126" s="34" t="e">
        <f>AND(#REF!,"AAAAAG/5/QU=")</f>
        <v>#REF!</v>
      </c>
      <c r="G126" s="34" t="e">
        <f>AND(#REF!,"AAAAAG/5/QY=")</f>
        <v>#REF!</v>
      </c>
      <c r="H126" s="34" t="e">
        <f>AND(#REF!,"AAAAAG/5/Qc=")</f>
        <v>#REF!</v>
      </c>
      <c r="I126" s="34" t="e">
        <f>AND(#REF!,"AAAAAG/5/Qg=")</f>
        <v>#REF!</v>
      </c>
      <c r="J126" s="34" t="e">
        <f>AND(#REF!,"AAAAAG/5/Qk=")</f>
        <v>#REF!</v>
      </c>
      <c r="K126" s="34" t="e">
        <f>AND(#REF!,"AAAAAG/5/Qo=")</f>
        <v>#REF!</v>
      </c>
      <c r="L126" s="34" t="e">
        <f>AND(#REF!,"AAAAAG/5/Qs=")</f>
        <v>#REF!</v>
      </c>
      <c r="M126" s="34" t="e">
        <f>IF(#REF!,"AAAAAG/5/Qw=",0)</f>
        <v>#REF!</v>
      </c>
      <c r="N126" s="34" t="e">
        <f>AND(#REF!,"AAAAAG/5/Q0=")</f>
        <v>#REF!</v>
      </c>
      <c r="O126" s="34" t="e">
        <f>AND(#REF!,"AAAAAG/5/Q4=")</f>
        <v>#REF!</v>
      </c>
      <c r="P126" s="34" t="e">
        <f>AND(#REF!,"AAAAAG/5/Q8=")</f>
        <v>#REF!</v>
      </c>
      <c r="Q126" s="34" t="e">
        <f>AND(#REF!,"AAAAAG/5/RA=")</f>
        <v>#REF!</v>
      </c>
      <c r="R126" s="34" t="e">
        <f>AND(#REF!,"AAAAAG/5/RE=")</f>
        <v>#REF!</v>
      </c>
      <c r="S126" s="34" t="e">
        <f>AND(#REF!,"AAAAAG/5/RI=")</f>
        <v>#REF!</v>
      </c>
      <c r="T126" s="34" t="e">
        <f>AND(#REF!,"AAAAAG/5/RM=")</f>
        <v>#REF!</v>
      </c>
      <c r="U126" s="34" t="e">
        <f>AND(#REF!,"AAAAAG/5/RQ=")</f>
        <v>#REF!</v>
      </c>
      <c r="V126" s="34" t="e">
        <f>AND(#REF!,"AAAAAG/5/RU=")</f>
        <v>#REF!</v>
      </c>
      <c r="W126" s="34" t="e">
        <f>AND(#REF!,"AAAAAG/5/RY=")</f>
        <v>#REF!</v>
      </c>
      <c r="X126" s="34" t="e">
        <f>AND(#REF!,"AAAAAG/5/Rc=")</f>
        <v>#REF!</v>
      </c>
      <c r="Y126" s="34" t="e">
        <f>AND(#REF!,"AAAAAG/5/Rg=")</f>
        <v>#REF!</v>
      </c>
      <c r="Z126" s="34" t="e">
        <f>AND(#REF!,"AAAAAG/5/Rk=")</f>
        <v>#REF!</v>
      </c>
      <c r="AA126" s="34" t="e">
        <f>AND(#REF!,"AAAAAG/5/Ro=")</f>
        <v>#REF!</v>
      </c>
      <c r="AB126" s="34" t="e">
        <f>AND(#REF!,"AAAAAG/5/Rs=")</f>
        <v>#REF!</v>
      </c>
      <c r="AC126" s="34" t="e">
        <f>AND(#REF!,"AAAAAG/5/Rw=")</f>
        <v>#REF!</v>
      </c>
      <c r="AD126" s="34" t="e">
        <f>AND(#REF!,"AAAAAG/5/R0=")</f>
        <v>#REF!</v>
      </c>
      <c r="AE126" s="34" t="e">
        <f>AND(#REF!,"AAAAAG/5/R4=")</f>
        <v>#REF!</v>
      </c>
      <c r="AF126" s="34" t="e">
        <f>AND(#REF!,"AAAAAG/5/R8=")</f>
        <v>#REF!</v>
      </c>
      <c r="AG126" s="34" t="e">
        <f>AND(#REF!,"AAAAAG/5/SA=")</f>
        <v>#REF!</v>
      </c>
      <c r="AH126" s="34" t="e">
        <f>AND(#REF!,"AAAAAG/5/SE=")</f>
        <v>#REF!</v>
      </c>
      <c r="AI126" s="34" t="e">
        <f>AND(#REF!,"AAAAAG/5/SI=")</f>
        <v>#REF!</v>
      </c>
      <c r="AJ126" s="34" t="e">
        <f>AND(#REF!,"AAAAAG/5/SM=")</f>
        <v>#REF!</v>
      </c>
      <c r="AK126" s="34" t="e">
        <f>AND(#REF!,"AAAAAG/5/SQ=")</f>
        <v>#REF!</v>
      </c>
      <c r="AL126" s="34" t="e">
        <f>AND(#REF!,"AAAAAG/5/SU=")</f>
        <v>#REF!</v>
      </c>
      <c r="AM126" s="34" t="e">
        <f>AND(#REF!,"AAAAAG/5/SY=")</f>
        <v>#REF!</v>
      </c>
      <c r="AN126" s="34" t="e">
        <f>AND(#REF!,"AAAAAG/5/Sc=")</f>
        <v>#REF!</v>
      </c>
      <c r="AO126" s="34" t="e">
        <f>AND(#REF!,"AAAAAG/5/Sg=")</f>
        <v>#REF!</v>
      </c>
      <c r="AP126" s="34" t="e">
        <f>AND(#REF!,"AAAAAG/5/Sk=")</f>
        <v>#REF!</v>
      </c>
      <c r="AQ126" s="34" t="e">
        <f>AND(#REF!,"AAAAAG/5/So=")</f>
        <v>#REF!</v>
      </c>
      <c r="AR126" s="34" t="e">
        <f>AND(#REF!,"AAAAAG/5/Ss=")</f>
        <v>#REF!</v>
      </c>
      <c r="AS126" s="34" t="e">
        <f>AND(#REF!,"AAAAAG/5/Sw=")</f>
        <v>#REF!</v>
      </c>
      <c r="AT126" s="34" t="e">
        <f>AND(#REF!,"AAAAAG/5/S0=")</f>
        <v>#REF!</v>
      </c>
      <c r="AU126" s="34" t="e">
        <f>AND(#REF!,"AAAAAG/5/S4=")</f>
        <v>#REF!</v>
      </c>
      <c r="AV126" s="34" t="e">
        <f>AND(#REF!,"AAAAAG/5/S8=")</f>
        <v>#REF!</v>
      </c>
      <c r="AW126" s="34" t="e">
        <f>AND(#REF!,"AAAAAG/5/TA=")</f>
        <v>#REF!</v>
      </c>
      <c r="AX126" s="34" t="e">
        <f>AND(#REF!,"AAAAAG/5/TE=")</f>
        <v>#REF!</v>
      </c>
      <c r="AY126" s="34" t="e">
        <f>AND(#REF!,"AAAAAG/5/TI=")</f>
        <v>#REF!</v>
      </c>
      <c r="AZ126" s="34" t="e">
        <f>AND(#REF!,"AAAAAG/5/TM=")</f>
        <v>#REF!</v>
      </c>
      <c r="BA126" s="34" t="e">
        <f>AND(#REF!,"AAAAAG/5/TQ=")</f>
        <v>#REF!</v>
      </c>
      <c r="BB126" s="34" t="e">
        <f>AND(#REF!,"AAAAAG/5/TU=")</f>
        <v>#REF!</v>
      </c>
      <c r="BC126" s="34" t="e">
        <f>AND(#REF!,"AAAAAG/5/TY=")</f>
        <v>#REF!</v>
      </c>
      <c r="BD126" s="34" t="e">
        <f>IF(#REF!,"AAAAAG/5/Tc=",0)</f>
        <v>#REF!</v>
      </c>
      <c r="BE126" s="34" t="e">
        <f>AND(#REF!,"AAAAAG/5/Tg=")</f>
        <v>#REF!</v>
      </c>
      <c r="BF126" s="34" t="e">
        <f>AND(#REF!,"AAAAAG/5/Tk=")</f>
        <v>#REF!</v>
      </c>
      <c r="BG126" s="34" t="e">
        <f>AND(#REF!,"AAAAAG/5/To=")</f>
        <v>#REF!</v>
      </c>
      <c r="BH126" s="34" t="e">
        <f>AND(#REF!,"AAAAAG/5/Ts=")</f>
        <v>#REF!</v>
      </c>
      <c r="BI126" s="34" t="e">
        <f>AND(#REF!,"AAAAAG/5/Tw=")</f>
        <v>#REF!</v>
      </c>
      <c r="BJ126" s="34" t="e">
        <f>AND(#REF!,"AAAAAG/5/T0=")</f>
        <v>#REF!</v>
      </c>
      <c r="BK126" s="34" t="e">
        <f>AND(#REF!,"AAAAAG/5/T4=")</f>
        <v>#REF!</v>
      </c>
      <c r="BL126" s="34" t="e">
        <f>AND(#REF!,"AAAAAG/5/T8=")</f>
        <v>#REF!</v>
      </c>
      <c r="BM126" s="34" t="e">
        <f>AND(#REF!,"AAAAAG/5/UA=")</f>
        <v>#REF!</v>
      </c>
      <c r="BN126" s="34" t="e">
        <f>AND(#REF!,"AAAAAG/5/UE=")</f>
        <v>#REF!</v>
      </c>
      <c r="BO126" s="34" t="e">
        <f>AND(#REF!,"AAAAAG/5/UI=")</f>
        <v>#REF!</v>
      </c>
      <c r="BP126" s="34" t="e">
        <f>AND(#REF!,"AAAAAG/5/UM=")</f>
        <v>#REF!</v>
      </c>
      <c r="BQ126" s="34" t="e">
        <f>AND(#REF!,"AAAAAG/5/UQ=")</f>
        <v>#REF!</v>
      </c>
      <c r="BR126" s="34" t="e">
        <f>AND(#REF!,"AAAAAG/5/UU=")</f>
        <v>#REF!</v>
      </c>
      <c r="BS126" s="34" t="e">
        <f>AND(#REF!,"AAAAAG/5/UY=")</f>
        <v>#REF!</v>
      </c>
      <c r="BT126" s="34" t="e">
        <f>AND(#REF!,"AAAAAG/5/Uc=")</f>
        <v>#REF!</v>
      </c>
      <c r="BU126" s="34" t="e">
        <f>AND(#REF!,"AAAAAG/5/Ug=")</f>
        <v>#REF!</v>
      </c>
      <c r="BV126" s="34" t="e">
        <f>AND(#REF!,"AAAAAG/5/Uk=")</f>
        <v>#REF!</v>
      </c>
      <c r="BW126" s="34" t="e">
        <f>AND(#REF!,"AAAAAG/5/Uo=")</f>
        <v>#REF!</v>
      </c>
      <c r="BX126" s="34" t="e">
        <f>AND(#REF!,"AAAAAG/5/Us=")</f>
        <v>#REF!</v>
      </c>
      <c r="BY126" s="34" t="e">
        <f>AND(#REF!,"AAAAAG/5/Uw=")</f>
        <v>#REF!</v>
      </c>
      <c r="BZ126" s="34" t="e">
        <f>AND(#REF!,"AAAAAG/5/U0=")</f>
        <v>#REF!</v>
      </c>
      <c r="CA126" s="34" t="e">
        <f>AND(#REF!,"AAAAAG/5/U4=")</f>
        <v>#REF!</v>
      </c>
      <c r="CB126" s="34" t="e">
        <f>AND(#REF!,"AAAAAG/5/U8=")</f>
        <v>#REF!</v>
      </c>
      <c r="CC126" s="34" t="e">
        <f>AND(#REF!,"AAAAAG/5/VA=")</f>
        <v>#REF!</v>
      </c>
      <c r="CD126" s="34" t="e">
        <f>AND(#REF!,"AAAAAG/5/VE=")</f>
        <v>#REF!</v>
      </c>
      <c r="CE126" s="34" t="e">
        <f>AND(#REF!,"AAAAAG/5/VI=")</f>
        <v>#REF!</v>
      </c>
      <c r="CF126" s="34" t="e">
        <f>AND(#REF!,"AAAAAG/5/VM=")</f>
        <v>#REF!</v>
      </c>
      <c r="CG126" s="34" t="e">
        <f>AND(#REF!,"AAAAAG/5/VQ=")</f>
        <v>#REF!</v>
      </c>
      <c r="CH126" s="34" t="e">
        <f>AND(#REF!,"AAAAAG/5/VU=")</f>
        <v>#REF!</v>
      </c>
      <c r="CI126" s="34" t="e">
        <f>AND(#REF!,"AAAAAG/5/VY=")</f>
        <v>#REF!</v>
      </c>
      <c r="CJ126" s="34" t="e">
        <f>AND(#REF!,"AAAAAG/5/Vc=")</f>
        <v>#REF!</v>
      </c>
      <c r="CK126" s="34" t="e">
        <f>AND(#REF!,"AAAAAG/5/Vg=")</f>
        <v>#REF!</v>
      </c>
      <c r="CL126" s="34" t="e">
        <f>AND(#REF!,"AAAAAG/5/Vk=")</f>
        <v>#REF!</v>
      </c>
      <c r="CM126" s="34" t="e">
        <f>AND(#REF!,"AAAAAG/5/Vo=")</f>
        <v>#REF!</v>
      </c>
      <c r="CN126" s="34" t="e">
        <f>AND(#REF!,"AAAAAG/5/Vs=")</f>
        <v>#REF!</v>
      </c>
      <c r="CO126" s="34" t="e">
        <f>AND(#REF!,"AAAAAG/5/Vw=")</f>
        <v>#REF!</v>
      </c>
      <c r="CP126" s="34" t="e">
        <f>AND(#REF!,"AAAAAG/5/V0=")</f>
        <v>#REF!</v>
      </c>
      <c r="CQ126" s="34" t="e">
        <f>AND(#REF!,"AAAAAG/5/V4=")</f>
        <v>#REF!</v>
      </c>
      <c r="CR126" s="34" t="e">
        <f>AND(#REF!,"AAAAAG/5/V8=")</f>
        <v>#REF!</v>
      </c>
      <c r="CS126" s="34" t="e">
        <f>AND(#REF!,"AAAAAG/5/WA=")</f>
        <v>#REF!</v>
      </c>
      <c r="CT126" s="34" t="e">
        <f>AND(#REF!,"AAAAAG/5/WE=")</f>
        <v>#REF!</v>
      </c>
      <c r="CU126" s="34" t="e">
        <f>IF(#REF!,"AAAAAG/5/WI=",0)</f>
        <v>#REF!</v>
      </c>
      <c r="CV126" s="34" t="e">
        <f>AND(#REF!,"AAAAAG/5/WM=")</f>
        <v>#REF!</v>
      </c>
      <c r="CW126" s="34" t="e">
        <f>AND(#REF!,"AAAAAG/5/WQ=")</f>
        <v>#REF!</v>
      </c>
      <c r="CX126" s="34" t="e">
        <f>AND(#REF!,"AAAAAG/5/WU=")</f>
        <v>#REF!</v>
      </c>
      <c r="CY126" s="34" t="e">
        <f>AND(#REF!,"AAAAAG/5/WY=")</f>
        <v>#REF!</v>
      </c>
      <c r="CZ126" s="34" t="e">
        <f>AND(#REF!,"AAAAAG/5/Wc=")</f>
        <v>#REF!</v>
      </c>
      <c r="DA126" s="34" t="e">
        <f>AND(#REF!,"AAAAAG/5/Wg=")</f>
        <v>#REF!</v>
      </c>
      <c r="DB126" s="34" t="e">
        <f>AND(#REF!,"AAAAAG/5/Wk=")</f>
        <v>#REF!</v>
      </c>
      <c r="DC126" s="34" t="e">
        <f>AND(#REF!,"AAAAAG/5/Wo=")</f>
        <v>#REF!</v>
      </c>
      <c r="DD126" s="34" t="e">
        <f>AND(#REF!,"AAAAAG/5/Ws=")</f>
        <v>#REF!</v>
      </c>
      <c r="DE126" s="34" t="e">
        <f>AND(#REF!,"AAAAAG/5/Ww=")</f>
        <v>#REF!</v>
      </c>
      <c r="DF126" s="34" t="e">
        <f>AND(#REF!,"AAAAAG/5/W0=")</f>
        <v>#REF!</v>
      </c>
      <c r="DG126" s="34" t="e">
        <f>AND(#REF!,"AAAAAG/5/W4=")</f>
        <v>#REF!</v>
      </c>
      <c r="DH126" s="34" t="e">
        <f>AND(#REF!,"AAAAAG/5/W8=")</f>
        <v>#REF!</v>
      </c>
      <c r="DI126" s="34" t="e">
        <f>AND(#REF!,"AAAAAG/5/XA=")</f>
        <v>#REF!</v>
      </c>
      <c r="DJ126" s="34" t="e">
        <f>AND(#REF!,"AAAAAG/5/XE=")</f>
        <v>#REF!</v>
      </c>
      <c r="DK126" s="34" t="e">
        <f>AND(#REF!,"AAAAAG/5/XI=")</f>
        <v>#REF!</v>
      </c>
      <c r="DL126" s="34" t="e">
        <f>AND(#REF!,"AAAAAG/5/XM=")</f>
        <v>#REF!</v>
      </c>
      <c r="DM126" s="34" t="e">
        <f>AND(#REF!,"AAAAAG/5/XQ=")</f>
        <v>#REF!</v>
      </c>
      <c r="DN126" s="34" t="e">
        <f>AND(#REF!,"AAAAAG/5/XU=")</f>
        <v>#REF!</v>
      </c>
      <c r="DO126" s="34" t="e">
        <f>AND(#REF!,"AAAAAG/5/XY=")</f>
        <v>#REF!</v>
      </c>
      <c r="DP126" s="34" t="e">
        <f>AND(#REF!,"AAAAAG/5/Xc=")</f>
        <v>#REF!</v>
      </c>
      <c r="DQ126" s="34" t="e">
        <f>AND(#REF!,"AAAAAG/5/Xg=")</f>
        <v>#REF!</v>
      </c>
      <c r="DR126" s="34" t="e">
        <f>AND(#REF!,"AAAAAG/5/Xk=")</f>
        <v>#REF!</v>
      </c>
      <c r="DS126" s="34" t="e">
        <f>AND(#REF!,"AAAAAG/5/Xo=")</f>
        <v>#REF!</v>
      </c>
      <c r="DT126" s="34" t="e">
        <f>AND(#REF!,"AAAAAG/5/Xs=")</f>
        <v>#REF!</v>
      </c>
      <c r="DU126" s="34" t="e">
        <f>AND(#REF!,"AAAAAG/5/Xw=")</f>
        <v>#REF!</v>
      </c>
      <c r="DV126" s="34" t="e">
        <f>AND(#REF!,"AAAAAG/5/X0=")</f>
        <v>#REF!</v>
      </c>
      <c r="DW126" s="34" t="e">
        <f>AND(#REF!,"AAAAAG/5/X4=")</f>
        <v>#REF!</v>
      </c>
      <c r="DX126" s="34" t="e">
        <f>AND(#REF!,"AAAAAG/5/X8=")</f>
        <v>#REF!</v>
      </c>
      <c r="DY126" s="34" t="e">
        <f>AND(#REF!,"AAAAAG/5/YA=")</f>
        <v>#REF!</v>
      </c>
      <c r="DZ126" s="34" t="e">
        <f>AND(#REF!,"AAAAAG/5/YE=")</f>
        <v>#REF!</v>
      </c>
      <c r="EA126" s="34" t="e">
        <f>AND(#REF!,"AAAAAG/5/YI=")</f>
        <v>#REF!</v>
      </c>
      <c r="EB126" s="34" t="e">
        <f>AND(#REF!,"AAAAAG/5/YM=")</f>
        <v>#REF!</v>
      </c>
      <c r="EC126" s="34" t="e">
        <f>AND(#REF!,"AAAAAG/5/YQ=")</f>
        <v>#REF!</v>
      </c>
      <c r="ED126" s="34" t="e">
        <f>AND(#REF!,"AAAAAG/5/YU=")</f>
        <v>#REF!</v>
      </c>
      <c r="EE126" s="34" t="e">
        <f>AND(#REF!,"AAAAAG/5/YY=")</f>
        <v>#REF!</v>
      </c>
      <c r="EF126" s="34" t="e">
        <f>AND(#REF!,"AAAAAG/5/Yc=")</f>
        <v>#REF!</v>
      </c>
      <c r="EG126" s="34" t="e">
        <f>AND(#REF!,"AAAAAG/5/Yg=")</f>
        <v>#REF!</v>
      </c>
      <c r="EH126" s="34" t="e">
        <f>AND(#REF!,"AAAAAG/5/Yk=")</f>
        <v>#REF!</v>
      </c>
      <c r="EI126" s="34" t="e">
        <f>AND(#REF!,"AAAAAG/5/Yo=")</f>
        <v>#REF!</v>
      </c>
      <c r="EJ126" s="34" t="e">
        <f>AND(#REF!,"AAAAAG/5/Ys=")</f>
        <v>#REF!</v>
      </c>
      <c r="EK126" s="34" t="e">
        <f>AND(#REF!,"AAAAAG/5/Yw=")</f>
        <v>#REF!</v>
      </c>
      <c r="EL126" s="34" t="e">
        <f>IF(#REF!,"AAAAAG/5/Y0=",0)</f>
        <v>#REF!</v>
      </c>
      <c r="EM126" s="34" t="e">
        <f>AND(#REF!,"AAAAAG/5/Y4=")</f>
        <v>#REF!</v>
      </c>
      <c r="EN126" s="34" t="e">
        <f>AND(#REF!,"AAAAAG/5/Y8=")</f>
        <v>#REF!</v>
      </c>
      <c r="EO126" s="34" t="e">
        <f>AND(#REF!,"AAAAAG/5/ZA=")</f>
        <v>#REF!</v>
      </c>
      <c r="EP126" s="34" t="e">
        <f>AND(#REF!,"AAAAAG/5/ZE=")</f>
        <v>#REF!</v>
      </c>
      <c r="EQ126" s="34" t="e">
        <f>AND(#REF!,"AAAAAG/5/ZI=")</f>
        <v>#REF!</v>
      </c>
      <c r="ER126" s="34" t="e">
        <f>AND(#REF!,"AAAAAG/5/ZM=")</f>
        <v>#REF!</v>
      </c>
      <c r="ES126" s="34" t="e">
        <f>AND(#REF!,"AAAAAG/5/ZQ=")</f>
        <v>#REF!</v>
      </c>
      <c r="ET126" s="34" t="e">
        <f>AND(#REF!,"AAAAAG/5/ZU=")</f>
        <v>#REF!</v>
      </c>
      <c r="EU126" s="34" t="e">
        <f>AND(#REF!,"AAAAAG/5/ZY=")</f>
        <v>#REF!</v>
      </c>
      <c r="EV126" s="34" t="e">
        <f>AND(#REF!,"AAAAAG/5/Zc=")</f>
        <v>#REF!</v>
      </c>
      <c r="EW126" s="34" t="e">
        <f>AND(#REF!,"AAAAAG/5/Zg=")</f>
        <v>#REF!</v>
      </c>
      <c r="EX126" s="34" t="e">
        <f>AND(#REF!,"AAAAAG/5/Zk=")</f>
        <v>#REF!</v>
      </c>
      <c r="EY126" s="34" t="e">
        <f>AND(#REF!,"AAAAAG/5/Zo=")</f>
        <v>#REF!</v>
      </c>
      <c r="EZ126" s="34" t="e">
        <f>AND(#REF!,"AAAAAG/5/Zs=")</f>
        <v>#REF!</v>
      </c>
      <c r="FA126" s="34" t="e">
        <f>AND(#REF!,"AAAAAG/5/Zw=")</f>
        <v>#REF!</v>
      </c>
      <c r="FB126" s="34" t="e">
        <f>AND(#REF!,"AAAAAG/5/Z0=")</f>
        <v>#REF!</v>
      </c>
      <c r="FC126" s="34" t="e">
        <f>AND(#REF!,"AAAAAG/5/Z4=")</f>
        <v>#REF!</v>
      </c>
      <c r="FD126" s="34" t="e">
        <f>AND(#REF!,"AAAAAG/5/Z8=")</f>
        <v>#REF!</v>
      </c>
      <c r="FE126" s="34" t="e">
        <f>AND(#REF!,"AAAAAG/5/aA=")</f>
        <v>#REF!</v>
      </c>
      <c r="FF126" s="34" t="e">
        <f>AND(#REF!,"AAAAAG/5/aE=")</f>
        <v>#REF!</v>
      </c>
      <c r="FG126" s="34" t="e">
        <f>AND(#REF!,"AAAAAG/5/aI=")</f>
        <v>#REF!</v>
      </c>
      <c r="FH126" s="34" t="e">
        <f>AND(#REF!,"AAAAAG/5/aM=")</f>
        <v>#REF!</v>
      </c>
      <c r="FI126" s="34" t="e">
        <f>AND(#REF!,"AAAAAG/5/aQ=")</f>
        <v>#REF!</v>
      </c>
      <c r="FJ126" s="34" t="e">
        <f>AND(#REF!,"AAAAAG/5/aU=")</f>
        <v>#REF!</v>
      </c>
      <c r="FK126" s="34" t="e">
        <f>AND(#REF!,"AAAAAG/5/aY=")</f>
        <v>#REF!</v>
      </c>
      <c r="FL126" s="34" t="e">
        <f>AND(#REF!,"AAAAAG/5/ac=")</f>
        <v>#REF!</v>
      </c>
      <c r="FM126" s="34" t="e">
        <f>AND(#REF!,"AAAAAG/5/ag=")</f>
        <v>#REF!</v>
      </c>
      <c r="FN126" s="34" t="e">
        <f>AND(#REF!,"AAAAAG/5/ak=")</f>
        <v>#REF!</v>
      </c>
      <c r="FO126" s="34" t="e">
        <f>AND(#REF!,"AAAAAG/5/ao=")</f>
        <v>#REF!</v>
      </c>
      <c r="FP126" s="34" t="e">
        <f>AND(#REF!,"AAAAAG/5/as=")</f>
        <v>#REF!</v>
      </c>
      <c r="FQ126" s="34" t="e">
        <f>AND(#REF!,"AAAAAG/5/aw=")</f>
        <v>#REF!</v>
      </c>
      <c r="FR126" s="34" t="e">
        <f>AND(#REF!,"AAAAAG/5/a0=")</f>
        <v>#REF!</v>
      </c>
      <c r="FS126" s="34" t="e">
        <f>AND(#REF!,"AAAAAG/5/a4=")</f>
        <v>#REF!</v>
      </c>
      <c r="FT126" s="34" t="e">
        <f>AND(#REF!,"AAAAAG/5/a8=")</f>
        <v>#REF!</v>
      </c>
      <c r="FU126" s="34" t="e">
        <f>AND(#REF!,"AAAAAG/5/bA=")</f>
        <v>#REF!</v>
      </c>
      <c r="FV126" s="34" t="e">
        <f>AND(#REF!,"AAAAAG/5/bE=")</f>
        <v>#REF!</v>
      </c>
      <c r="FW126" s="34" t="e">
        <f>AND(#REF!,"AAAAAG/5/bI=")</f>
        <v>#REF!</v>
      </c>
      <c r="FX126" s="34" t="e">
        <f>AND(#REF!,"AAAAAG/5/bM=")</f>
        <v>#REF!</v>
      </c>
      <c r="FY126" s="34" t="e">
        <f>AND(#REF!,"AAAAAG/5/bQ=")</f>
        <v>#REF!</v>
      </c>
      <c r="FZ126" s="34" t="e">
        <f>AND(#REF!,"AAAAAG/5/bU=")</f>
        <v>#REF!</v>
      </c>
      <c r="GA126" s="34" t="e">
        <f>AND(#REF!,"AAAAAG/5/bY=")</f>
        <v>#REF!</v>
      </c>
      <c r="GB126" s="34" t="e">
        <f>AND(#REF!,"AAAAAG/5/bc=")</f>
        <v>#REF!</v>
      </c>
      <c r="GC126" s="34" t="e">
        <f>IF(#REF!,"AAAAAG/5/bg=",0)</f>
        <v>#REF!</v>
      </c>
      <c r="GD126" s="34" t="e">
        <f>AND(#REF!,"AAAAAG/5/bk=")</f>
        <v>#REF!</v>
      </c>
      <c r="GE126" s="34" t="e">
        <f>AND(#REF!,"AAAAAG/5/bo=")</f>
        <v>#REF!</v>
      </c>
      <c r="GF126" s="34" t="e">
        <f>AND(#REF!,"AAAAAG/5/bs=")</f>
        <v>#REF!</v>
      </c>
      <c r="GG126" s="34" t="e">
        <f>AND(#REF!,"AAAAAG/5/bw=")</f>
        <v>#REF!</v>
      </c>
      <c r="GH126" s="34" t="e">
        <f>AND(#REF!,"AAAAAG/5/b0=")</f>
        <v>#REF!</v>
      </c>
      <c r="GI126" s="34" t="e">
        <f>AND(#REF!,"AAAAAG/5/b4=")</f>
        <v>#REF!</v>
      </c>
      <c r="GJ126" s="34" t="e">
        <f>AND(#REF!,"AAAAAG/5/b8=")</f>
        <v>#REF!</v>
      </c>
      <c r="GK126" s="34" t="e">
        <f>AND(#REF!,"AAAAAG/5/cA=")</f>
        <v>#REF!</v>
      </c>
      <c r="GL126" s="34" t="e">
        <f>AND(#REF!,"AAAAAG/5/cE=")</f>
        <v>#REF!</v>
      </c>
      <c r="GM126" s="34" t="e">
        <f>AND(#REF!,"AAAAAG/5/cI=")</f>
        <v>#REF!</v>
      </c>
      <c r="GN126" s="34" t="e">
        <f>AND(#REF!,"AAAAAG/5/cM=")</f>
        <v>#REF!</v>
      </c>
      <c r="GO126" s="34" t="e">
        <f>AND(#REF!,"AAAAAG/5/cQ=")</f>
        <v>#REF!</v>
      </c>
      <c r="GP126" s="34" t="e">
        <f>AND(#REF!,"AAAAAG/5/cU=")</f>
        <v>#REF!</v>
      </c>
      <c r="GQ126" s="34" t="e">
        <f>AND(#REF!,"AAAAAG/5/cY=")</f>
        <v>#REF!</v>
      </c>
      <c r="GR126" s="34" t="e">
        <f>AND(#REF!,"AAAAAG/5/cc=")</f>
        <v>#REF!</v>
      </c>
      <c r="GS126" s="34" t="e">
        <f>AND(#REF!,"AAAAAG/5/cg=")</f>
        <v>#REF!</v>
      </c>
      <c r="GT126" s="34" t="e">
        <f>AND(#REF!,"AAAAAG/5/ck=")</f>
        <v>#REF!</v>
      </c>
      <c r="GU126" s="34" t="e">
        <f>AND(#REF!,"AAAAAG/5/co=")</f>
        <v>#REF!</v>
      </c>
      <c r="GV126" s="34" t="e">
        <f>AND(#REF!,"AAAAAG/5/cs=")</f>
        <v>#REF!</v>
      </c>
      <c r="GW126" s="34" t="e">
        <f>AND(#REF!,"AAAAAG/5/cw=")</f>
        <v>#REF!</v>
      </c>
      <c r="GX126" s="34" t="e">
        <f>AND(#REF!,"AAAAAG/5/c0=")</f>
        <v>#REF!</v>
      </c>
      <c r="GY126" s="34" t="e">
        <f>AND(#REF!,"AAAAAG/5/c4=")</f>
        <v>#REF!</v>
      </c>
      <c r="GZ126" s="34" t="e">
        <f>AND(#REF!,"AAAAAG/5/c8=")</f>
        <v>#REF!</v>
      </c>
      <c r="HA126" s="34" t="e">
        <f>AND(#REF!,"AAAAAG/5/dA=")</f>
        <v>#REF!</v>
      </c>
      <c r="HB126" s="34" t="e">
        <f>AND(#REF!,"AAAAAG/5/dE=")</f>
        <v>#REF!</v>
      </c>
      <c r="HC126" s="34" t="e">
        <f>AND(#REF!,"AAAAAG/5/dI=")</f>
        <v>#REF!</v>
      </c>
      <c r="HD126" s="34" t="e">
        <f>AND(#REF!,"AAAAAG/5/dM=")</f>
        <v>#REF!</v>
      </c>
      <c r="HE126" s="34" t="e">
        <f>AND(#REF!,"AAAAAG/5/dQ=")</f>
        <v>#REF!</v>
      </c>
      <c r="HF126" s="34" t="e">
        <f>AND(#REF!,"AAAAAG/5/dU=")</f>
        <v>#REF!</v>
      </c>
      <c r="HG126" s="34" t="e">
        <f>AND(#REF!,"AAAAAG/5/dY=")</f>
        <v>#REF!</v>
      </c>
      <c r="HH126" s="34" t="e">
        <f>AND(#REF!,"AAAAAG/5/dc=")</f>
        <v>#REF!</v>
      </c>
      <c r="HI126" s="34" t="e">
        <f>AND(#REF!,"AAAAAG/5/dg=")</f>
        <v>#REF!</v>
      </c>
      <c r="HJ126" s="34" t="e">
        <f>AND(#REF!,"AAAAAG/5/dk=")</f>
        <v>#REF!</v>
      </c>
      <c r="HK126" s="34" t="e">
        <f>AND(#REF!,"AAAAAG/5/do=")</f>
        <v>#REF!</v>
      </c>
      <c r="HL126" s="34" t="e">
        <f>AND(#REF!,"AAAAAG/5/ds=")</f>
        <v>#REF!</v>
      </c>
      <c r="HM126" s="34" t="e">
        <f>AND(#REF!,"AAAAAG/5/dw=")</f>
        <v>#REF!</v>
      </c>
      <c r="HN126" s="34" t="e">
        <f>AND(#REF!,"AAAAAG/5/d0=")</f>
        <v>#REF!</v>
      </c>
      <c r="HO126" s="34" t="e">
        <f>AND(#REF!,"AAAAAG/5/d4=")</f>
        <v>#REF!</v>
      </c>
      <c r="HP126" s="34" t="e">
        <f>AND(#REF!,"AAAAAG/5/d8=")</f>
        <v>#REF!</v>
      </c>
      <c r="HQ126" s="34" t="e">
        <f>AND(#REF!,"AAAAAG/5/eA=")</f>
        <v>#REF!</v>
      </c>
      <c r="HR126" s="34" t="e">
        <f>AND(#REF!,"AAAAAG/5/eE=")</f>
        <v>#REF!</v>
      </c>
      <c r="HS126" s="34" t="e">
        <f>AND(#REF!,"AAAAAG/5/eI=")</f>
        <v>#REF!</v>
      </c>
      <c r="HT126" s="34" t="e">
        <f>IF(#REF!,"AAAAAG/5/eM=",0)</f>
        <v>#REF!</v>
      </c>
      <c r="HU126" s="34" t="e">
        <f>AND(#REF!,"AAAAAG/5/eQ=")</f>
        <v>#REF!</v>
      </c>
      <c r="HV126" s="34" t="e">
        <f>AND(#REF!,"AAAAAG/5/eU=")</f>
        <v>#REF!</v>
      </c>
      <c r="HW126" s="34" t="e">
        <f>AND(#REF!,"AAAAAG/5/eY=")</f>
        <v>#REF!</v>
      </c>
      <c r="HX126" s="34" t="e">
        <f>AND(#REF!,"AAAAAG/5/ec=")</f>
        <v>#REF!</v>
      </c>
      <c r="HY126" s="34" t="e">
        <f>AND(#REF!,"AAAAAG/5/eg=")</f>
        <v>#REF!</v>
      </c>
      <c r="HZ126" s="34" t="e">
        <f>AND(#REF!,"AAAAAG/5/ek=")</f>
        <v>#REF!</v>
      </c>
      <c r="IA126" s="34" t="e">
        <f>AND(#REF!,"AAAAAG/5/eo=")</f>
        <v>#REF!</v>
      </c>
      <c r="IB126" s="34" t="e">
        <f>AND(#REF!,"AAAAAG/5/es=")</f>
        <v>#REF!</v>
      </c>
      <c r="IC126" s="34" t="e">
        <f>AND(#REF!,"AAAAAG/5/ew=")</f>
        <v>#REF!</v>
      </c>
      <c r="ID126" s="34" t="e">
        <f>AND(#REF!,"AAAAAG/5/e0=")</f>
        <v>#REF!</v>
      </c>
      <c r="IE126" s="34" t="e">
        <f>AND(#REF!,"AAAAAG/5/e4=")</f>
        <v>#REF!</v>
      </c>
      <c r="IF126" s="34" t="e">
        <f>AND(#REF!,"AAAAAG/5/e8=")</f>
        <v>#REF!</v>
      </c>
      <c r="IG126" s="34" t="e">
        <f>AND(#REF!,"AAAAAG/5/fA=")</f>
        <v>#REF!</v>
      </c>
      <c r="IH126" s="34" t="e">
        <f>AND(#REF!,"AAAAAG/5/fE=")</f>
        <v>#REF!</v>
      </c>
      <c r="II126" s="34" t="e">
        <f>AND(#REF!,"AAAAAG/5/fI=")</f>
        <v>#REF!</v>
      </c>
      <c r="IJ126" s="34" t="e">
        <f>AND(#REF!,"AAAAAG/5/fM=")</f>
        <v>#REF!</v>
      </c>
      <c r="IK126" s="34" t="e">
        <f>AND(#REF!,"AAAAAG/5/fQ=")</f>
        <v>#REF!</v>
      </c>
      <c r="IL126" s="34" t="e">
        <f>AND(#REF!,"AAAAAG/5/fU=")</f>
        <v>#REF!</v>
      </c>
      <c r="IM126" s="34" t="e">
        <f>AND(#REF!,"AAAAAG/5/fY=")</f>
        <v>#REF!</v>
      </c>
      <c r="IN126" s="34" t="e">
        <f>AND(#REF!,"AAAAAG/5/fc=")</f>
        <v>#REF!</v>
      </c>
      <c r="IO126" s="34" t="e">
        <f>AND(#REF!,"AAAAAG/5/fg=")</f>
        <v>#REF!</v>
      </c>
      <c r="IP126" s="34" t="e">
        <f>AND(#REF!,"AAAAAG/5/fk=")</f>
        <v>#REF!</v>
      </c>
      <c r="IQ126" s="34" t="e">
        <f>AND(#REF!,"AAAAAG/5/fo=")</f>
        <v>#REF!</v>
      </c>
      <c r="IR126" s="34" t="e">
        <f>AND(#REF!,"AAAAAG/5/fs=")</f>
        <v>#REF!</v>
      </c>
      <c r="IS126" s="34" t="e">
        <f>AND(#REF!,"AAAAAG/5/fw=")</f>
        <v>#REF!</v>
      </c>
      <c r="IT126" s="34" t="e">
        <f>AND(#REF!,"AAAAAG/5/f0=")</f>
        <v>#REF!</v>
      </c>
      <c r="IU126" s="34" t="e">
        <f>AND(#REF!,"AAAAAG/5/f4=")</f>
        <v>#REF!</v>
      </c>
      <c r="IV126" s="34" t="e">
        <f>AND(#REF!,"AAAAAG/5/f8=")</f>
        <v>#REF!</v>
      </c>
    </row>
    <row r="127" spans="1:256" ht="12.75" customHeight="1" x14ac:dyDescent="0.2">
      <c r="A127" s="34" t="e">
        <f>AND(#REF!,"AAAAAFnb/wA=")</f>
        <v>#REF!</v>
      </c>
      <c r="B127" s="34" t="e">
        <f>AND(#REF!,"AAAAAFnb/wE=")</f>
        <v>#REF!</v>
      </c>
      <c r="C127" s="34" t="e">
        <f>AND(#REF!,"AAAAAFnb/wI=")</f>
        <v>#REF!</v>
      </c>
      <c r="D127" s="34" t="e">
        <f>AND(#REF!,"AAAAAFnb/wM=")</f>
        <v>#REF!</v>
      </c>
      <c r="E127" s="34" t="e">
        <f>AND(#REF!,"AAAAAFnb/wQ=")</f>
        <v>#REF!</v>
      </c>
      <c r="F127" s="34" t="e">
        <f>AND(#REF!,"AAAAAFnb/wU=")</f>
        <v>#REF!</v>
      </c>
      <c r="G127" s="34" t="e">
        <f>AND(#REF!,"AAAAAFnb/wY=")</f>
        <v>#REF!</v>
      </c>
      <c r="H127" s="34" t="e">
        <f>AND(#REF!,"AAAAAFnb/wc=")</f>
        <v>#REF!</v>
      </c>
      <c r="I127" s="34" t="e">
        <f>AND(#REF!,"AAAAAFnb/wg=")</f>
        <v>#REF!</v>
      </c>
      <c r="J127" s="34" t="e">
        <f>AND(#REF!,"AAAAAFnb/wk=")</f>
        <v>#REF!</v>
      </c>
      <c r="K127" s="34" t="e">
        <f>AND(#REF!,"AAAAAFnb/wo=")</f>
        <v>#REF!</v>
      </c>
      <c r="L127" s="34" t="e">
        <f>AND(#REF!,"AAAAAFnb/ws=")</f>
        <v>#REF!</v>
      </c>
      <c r="M127" s="34" t="e">
        <f>AND(#REF!,"AAAAAFnb/ww=")</f>
        <v>#REF!</v>
      </c>
      <c r="N127" s="34" t="e">
        <f>AND(#REF!,"AAAAAFnb/w0=")</f>
        <v>#REF!</v>
      </c>
      <c r="O127" s="34" t="e">
        <f>IF(#REF!,"AAAAAFnb/w4=",0)</f>
        <v>#REF!</v>
      </c>
      <c r="P127" s="34" t="e">
        <f>AND(#REF!,"AAAAAFnb/w8=")</f>
        <v>#REF!</v>
      </c>
      <c r="Q127" s="34" t="e">
        <f>AND(#REF!,"AAAAAFnb/xA=")</f>
        <v>#REF!</v>
      </c>
      <c r="R127" s="34" t="e">
        <f>AND(#REF!,"AAAAAFnb/xE=")</f>
        <v>#REF!</v>
      </c>
      <c r="S127" s="34" t="e">
        <f>AND(#REF!,"AAAAAFnb/xI=")</f>
        <v>#REF!</v>
      </c>
      <c r="T127" s="34" t="e">
        <f>AND(#REF!,"AAAAAFnb/xM=")</f>
        <v>#REF!</v>
      </c>
      <c r="U127" s="34" t="e">
        <f>AND(#REF!,"AAAAAFnb/xQ=")</f>
        <v>#REF!</v>
      </c>
      <c r="V127" s="34" t="e">
        <f>AND(#REF!,"AAAAAFnb/xU=")</f>
        <v>#REF!</v>
      </c>
      <c r="W127" s="34" t="e">
        <f>AND(#REF!,"AAAAAFnb/xY=")</f>
        <v>#REF!</v>
      </c>
      <c r="X127" s="34" t="e">
        <f>AND(#REF!,"AAAAAFnb/xc=")</f>
        <v>#REF!</v>
      </c>
      <c r="Y127" s="34" t="e">
        <f>AND(#REF!,"AAAAAFnb/xg=")</f>
        <v>#REF!</v>
      </c>
      <c r="Z127" s="34" t="e">
        <f>AND(#REF!,"AAAAAFnb/xk=")</f>
        <v>#REF!</v>
      </c>
      <c r="AA127" s="34" t="e">
        <f>AND(#REF!,"AAAAAFnb/xo=")</f>
        <v>#REF!</v>
      </c>
      <c r="AB127" s="34" t="e">
        <f>AND(#REF!,"AAAAAFnb/xs=")</f>
        <v>#REF!</v>
      </c>
      <c r="AC127" s="34" t="e">
        <f>AND(#REF!,"AAAAAFnb/xw=")</f>
        <v>#REF!</v>
      </c>
      <c r="AD127" s="34" t="e">
        <f>AND(#REF!,"AAAAAFnb/x0=")</f>
        <v>#REF!</v>
      </c>
      <c r="AE127" s="34" t="e">
        <f>AND(#REF!,"AAAAAFnb/x4=")</f>
        <v>#REF!</v>
      </c>
      <c r="AF127" s="34" t="e">
        <f>AND(#REF!,"AAAAAFnb/x8=")</f>
        <v>#REF!</v>
      </c>
      <c r="AG127" s="34" t="e">
        <f>AND(#REF!,"AAAAAFnb/yA=")</f>
        <v>#REF!</v>
      </c>
      <c r="AH127" s="34" t="e">
        <f>AND(#REF!,"AAAAAFnb/yE=")</f>
        <v>#REF!</v>
      </c>
      <c r="AI127" s="34" t="e">
        <f>AND(#REF!,"AAAAAFnb/yI=")</f>
        <v>#REF!</v>
      </c>
      <c r="AJ127" s="34" t="e">
        <f>AND(#REF!,"AAAAAFnb/yM=")</f>
        <v>#REF!</v>
      </c>
      <c r="AK127" s="34" t="e">
        <f>AND(#REF!,"AAAAAFnb/yQ=")</f>
        <v>#REF!</v>
      </c>
      <c r="AL127" s="34" t="e">
        <f>AND(#REF!,"AAAAAFnb/yU=")</f>
        <v>#REF!</v>
      </c>
      <c r="AM127" s="34" t="e">
        <f>AND(#REF!,"AAAAAFnb/yY=")</f>
        <v>#REF!</v>
      </c>
      <c r="AN127" s="34" t="e">
        <f>AND(#REF!,"AAAAAFnb/yc=")</f>
        <v>#REF!</v>
      </c>
      <c r="AO127" s="34" t="e">
        <f>AND(#REF!,"AAAAAFnb/yg=")</f>
        <v>#REF!</v>
      </c>
      <c r="AP127" s="34" t="e">
        <f>AND(#REF!,"AAAAAFnb/yk=")</f>
        <v>#REF!</v>
      </c>
      <c r="AQ127" s="34" t="e">
        <f>AND(#REF!,"AAAAAFnb/yo=")</f>
        <v>#REF!</v>
      </c>
      <c r="AR127" s="34" t="e">
        <f>AND(#REF!,"AAAAAFnb/ys=")</f>
        <v>#REF!</v>
      </c>
      <c r="AS127" s="34" t="e">
        <f>AND(#REF!,"AAAAAFnb/yw=")</f>
        <v>#REF!</v>
      </c>
      <c r="AT127" s="34" t="e">
        <f>AND(#REF!,"AAAAAFnb/y0=")</f>
        <v>#REF!</v>
      </c>
      <c r="AU127" s="34" t="e">
        <f>AND(#REF!,"AAAAAFnb/y4=")</f>
        <v>#REF!</v>
      </c>
      <c r="AV127" s="34" t="e">
        <f>AND(#REF!,"AAAAAFnb/y8=")</f>
        <v>#REF!</v>
      </c>
      <c r="AW127" s="34" t="e">
        <f>AND(#REF!,"AAAAAFnb/zA=")</f>
        <v>#REF!</v>
      </c>
      <c r="AX127" s="34" t="e">
        <f>AND(#REF!,"AAAAAFnb/zE=")</f>
        <v>#REF!</v>
      </c>
      <c r="AY127" s="34" t="e">
        <f>AND(#REF!,"AAAAAFnb/zI=")</f>
        <v>#REF!</v>
      </c>
      <c r="AZ127" s="34" t="e">
        <f>AND(#REF!,"AAAAAFnb/zM=")</f>
        <v>#REF!</v>
      </c>
      <c r="BA127" s="34" t="e">
        <f>AND(#REF!,"AAAAAFnb/zQ=")</f>
        <v>#REF!</v>
      </c>
      <c r="BB127" s="34" t="e">
        <f>AND(#REF!,"AAAAAFnb/zU=")</f>
        <v>#REF!</v>
      </c>
      <c r="BC127" s="34" t="e">
        <f>AND(#REF!,"AAAAAFnb/zY=")</f>
        <v>#REF!</v>
      </c>
      <c r="BD127" s="34" t="e">
        <f>AND(#REF!,"AAAAAFnb/zc=")</f>
        <v>#REF!</v>
      </c>
      <c r="BE127" s="34" t="e">
        <f>AND(#REF!,"AAAAAFnb/zg=")</f>
        <v>#REF!</v>
      </c>
      <c r="BF127" s="34" t="e">
        <f>IF(#REF!,"AAAAAFnb/zk=",0)</f>
        <v>#REF!</v>
      </c>
      <c r="BG127" s="34" t="e">
        <f>AND(#REF!,"AAAAAFnb/zo=")</f>
        <v>#REF!</v>
      </c>
      <c r="BH127" s="34" t="e">
        <f>AND(#REF!,"AAAAAFnb/zs=")</f>
        <v>#REF!</v>
      </c>
      <c r="BI127" s="34" t="e">
        <f>AND(#REF!,"AAAAAFnb/zw=")</f>
        <v>#REF!</v>
      </c>
      <c r="BJ127" s="34" t="e">
        <f>AND(#REF!,"AAAAAFnb/z0=")</f>
        <v>#REF!</v>
      </c>
      <c r="BK127" s="34" t="e">
        <f>AND(#REF!,"AAAAAFnb/z4=")</f>
        <v>#REF!</v>
      </c>
      <c r="BL127" s="34" t="e">
        <f>AND(#REF!,"AAAAAFnb/z8=")</f>
        <v>#REF!</v>
      </c>
      <c r="BM127" s="34" t="e">
        <f>AND(#REF!,"AAAAAFnb/0A=")</f>
        <v>#REF!</v>
      </c>
      <c r="BN127" s="34" t="e">
        <f>AND(#REF!,"AAAAAFnb/0E=")</f>
        <v>#REF!</v>
      </c>
      <c r="BO127" s="34" t="e">
        <f>AND(#REF!,"AAAAAFnb/0I=")</f>
        <v>#REF!</v>
      </c>
      <c r="BP127" s="34" t="e">
        <f>AND(#REF!,"AAAAAFnb/0M=")</f>
        <v>#REF!</v>
      </c>
      <c r="BQ127" s="34" t="e">
        <f>AND(#REF!,"AAAAAFnb/0Q=")</f>
        <v>#REF!</v>
      </c>
      <c r="BR127" s="34" t="e">
        <f>AND(#REF!,"AAAAAFnb/0U=")</f>
        <v>#REF!</v>
      </c>
      <c r="BS127" s="34" t="e">
        <f>AND(#REF!,"AAAAAFnb/0Y=")</f>
        <v>#REF!</v>
      </c>
      <c r="BT127" s="34" t="e">
        <f>AND(#REF!,"AAAAAFnb/0c=")</f>
        <v>#REF!</v>
      </c>
      <c r="BU127" s="34" t="e">
        <f>AND(#REF!,"AAAAAFnb/0g=")</f>
        <v>#REF!</v>
      </c>
      <c r="BV127" s="34" t="e">
        <f>AND(#REF!,"AAAAAFnb/0k=")</f>
        <v>#REF!</v>
      </c>
      <c r="BW127" s="34" t="e">
        <f>AND(#REF!,"AAAAAFnb/0o=")</f>
        <v>#REF!</v>
      </c>
      <c r="BX127" s="34" t="e">
        <f>AND(#REF!,"AAAAAFnb/0s=")</f>
        <v>#REF!</v>
      </c>
      <c r="BY127" s="34" t="e">
        <f>AND(#REF!,"AAAAAFnb/0w=")</f>
        <v>#REF!</v>
      </c>
      <c r="BZ127" s="34" t="e">
        <f>AND(#REF!,"AAAAAFnb/00=")</f>
        <v>#REF!</v>
      </c>
      <c r="CA127" s="34" t="e">
        <f>AND(#REF!,"AAAAAFnb/04=")</f>
        <v>#REF!</v>
      </c>
      <c r="CB127" s="34" t="e">
        <f>AND(#REF!,"AAAAAFnb/08=")</f>
        <v>#REF!</v>
      </c>
      <c r="CC127" s="34" t="e">
        <f>AND(#REF!,"AAAAAFnb/1A=")</f>
        <v>#REF!</v>
      </c>
      <c r="CD127" s="34" t="e">
        <f>AND(#REF!,"AAAAAFnb/1E=")</f>
        <v>#REF!</v>
      </c>
      <c r="CE127" s="34" t="e">
        <f>AND(#REF!,"AAAAAFnb/1I=")</f>
        <v>#REF!</v>
      </c>
      <c r="CF127" s="34" t="e">
        <f>AND(#REF!,"AAAAAFnb/1M=")</f>
        <v>#REF!</v>
      </c>
      <c r="CG127" s="34" t="e">
        <f>AND(#REF!,"AAAAAFnb/1Q=")</f>
        <v>#REF!</v>
      </c>
      <c r="CH127" s="34" t="e">
        <f>AND(#REF!,"AAAAAFnb/1U=")</f>
        <v>#REF!</v>
      </c>
      <c r="CI127" s="34" t="e">
        <f>AND(#REF!,"AAAAAFnb/1Y=")</f>
        <v>#REF!</v>
      </c>
      <c r="CJ127" s="34" t="e">
        <f>AND(#REF!,"AAAAAFnb/1c=")</f>
        <v>#REF!</v>
      </c>
      <c r="CK127" s="34" t="e">
        <f>AND(#REF!,"AAAAAFnb/1g=")</f>
        <v>#REF!</v>
      </c>
      <c r="CL127" s="34" t="e">
        <f>AND(#REF!,"AAAAAFnb/1k=")</f>
        <v>#REF!</v>
      </c>
      <c r="CM127" s="34" t="e">
        <f>AND(#REF!,"AAAAAFnb/1o=")</f>
        <v>#REF!</v>
      </c>
      <c r="CN127" s="34" t="e">
        <f>AND(#REF!,"AAAAAFnb/1s=")</f>
        <v>#REF!</v>
      </c>
      <c r="CO127" s="34" t="e">
        <f>AND(#REF!,"AAAAAFnb/1w=")</f>
        <v>#REF!</v>
      </c>
      <c r="CP127" s="34" t="e">
        <f>AND(#REF!,"AAAAAFnb/10=")</f>
        <v>#REF!</v>
      </c>
      <c r="CQ127" s="34" t="e">
        <f>AND(#REF!,"AAAAAFnb/14=")</f>
        <v>#REF!</v>
      </c>
      <c r="CR127" s="34" t="e">
        <f>AND(#REF!,"AAAAAFnb/18=")</f>
        <v>#REF!</v>
      </c>
      <c r="CS127" s="34" t="e">
        <f>AND(#REF!,"AAAAAFnb/2A=")</f>
        <v>#REF!</v>
      </c>
      <c r="CT127" s="34" t="e">
        <f>AND(#REF!,"AAAAAFnb/2E=")</f>
        <v>#REF!</v>
      </c>
      <c r="CU127" s="34" t="e">
        <f>AND(#REF!,"AAAAAFnb/2I=")</f>
        <v>#REF!</v>
      </c>
      <c r="CV127" s="34" t="e">
        <f>AND(#REF!,"AAAAAFnb/2M=")</f>
        <v>#REF!</v>
      </c>
      <c r="CW127" s="34" t="e">
        <f>IF(#REF!,"AAAAAFnb/2Q=",0)</f>
        <v>#REF!</v>
      </c>
      <c r="CX127" s="34" t="e">
        <f>AND(#REF!,"AAAAAFnb/2U=")</f>
        <v>#REF!</v>
      </c>
      <c r="CY127" s="34" t="e">
        <f>AND(#REF!,"AAAAAFnb/2Y=")</f>
        <v>#REF!</v>
      </c>
      <c r="CZ127" s="34" t="e">
        <f>AND(#REF!,"AAAAAFnb/2c=")</f>
        <v>#REF!</v>
      </c>
      <c r="DA127" s="34" t="e">
        <f>AND(#REF!,"AAAAAFnb/2g=")</f>
        <v>#REF!</v>
      </c>
      <c r="DB127" s="34" t="e">
        <f>AND(#REF!,"AAAAAFnb/2k=")</f>
        <v>#REF!</v>
      </c>
      <c r="DC127" s="34" t="e">
        <f>AND(#REF!,"AAAAAFnb/2o=")</f>
        <v>#REF!</v>
      </c>
      <c r="DD127" s="34" t="e">
        <f>AND(#REF!,"AAAAAFnb/2s=")</f>
        <v>#REF!</v>
      </c>
      <c r="DE127" s="34" t="e">
        <f>AND(#REF!,"AAAAAFnb/2w=")</f>
        <v>#REF!</v>
      </c>
      <c r="DF127" s="34" t="e">
        <f>AND(#REF!,"AAAAAFnb/20=")</f>
        <v>#REF!</v>
      </c>
      <c r="DG127" s="34" t="e">
        <f>AND(#REF!,"AAAAAFnb/24=")</f>
        <v>#REF!</v>
      </c>
      <c r="DH127" s="34" t="e">
        <f>AND(#REF!,"AAAAAFnb/28=")</f>
        <v>#REF!</v>
      </c>
      <c r="DI127" s="34" t="e">
        <f>AND(#REF!,"AAAAAFnb/3A=")</f>
        <v>#REF!</v>
      </c>
      <c r="DJ127" s="34" t="e">
        <f>AND(#REF!,"AAAAAFnb/3E=")</f>
        <v>#REF!</v>
      </c>
      <c r="DK127" s="34" t="e">
        <f>AND(#REF!,"AAAAAFnb/3I=")</f>
        <v>#REF!</v>
      </c>
      <c r="DL127" s="34" t="e">
        <f>AND(#REF!,"AAAAAFnb/3M=")</f>
        <v>#REF!</v>
      </c>
      <c r="DM127" s="34" t="e">
        <f>AND(#REF!,"AAAAAFnb/3Q=")</f>
        <v>#REF!</v>
      </c>
      <c r="DN127" s="34" t="e">
        <f>AND(#REF!,"AAAAAFnb/3U=")</f>
        <v>#REF!</v>
      </c>
      <c r="DO127" s="34" t="e">
        <f>AND(#REF!,"AAAAAFnb/3Y=")</f>
        <v>#REF!</v>
      </c>
      <c r="DP127" s="34" t="e">
        <f>AND(#REF!,"AAAAAFnb/3c=")</f>
        <v>#REF!</v>
      </c>
      <c r="DQ127" s="34" t="e">
        <f>AND(#REF!,"AAAAAFnb/3g=")</f>
        <v>#REF!</v>
      </c>
      <c r="DR127" s="34" t="e">
        <f>AND(#REF!,"AAAAAFnb/3k=")</f>
        <v>#REF!</v>
      </c>
      <c r="DS127" s="34" t="e">
        <f>AND(#REF!,"AAAAAFnb/3o=")</f>
        <v>#REF!</v>
      </c>
      <c r="DT127" s="34" t="e">
        <f>AND(#REF!,"AAAAAFnb/3s=")</f>
        <v>#REF!</v>
      </c>
      <c r="DU127" s="34" t="e">
        <f>AND(#REF!,"AAAAAFnb/3w=")</f>
        <v>#REF!</v>
      </c>
      <c r="DV127" s="34" t="e">
        <f>AND(#REF!,"AAAAAFnb/30=")</f>
        <v>#REF!</v>
      </c>
      <c r="DW127" s="34" t="e">
        <f>AND(#REF!,"AAAAAFnb/34=")</f>
        <v>#REF!</v>
      </c>
      <c r="DX127" s="34" t="e">
        <f>AND(#REF!,"AAAAAFnb/38=")</f>
        <v>#REF!</v>
      </c>
      <c r="DY127" s="34" t="e">
        <f>AND(#REF!,"AAAAAFnb/4A=")</f>
        <v>#REF!</v>
      </c>
      <c r="DZ127" s="34" t="e">
        <f>AND(#REF!,"AAAAAFnb/4E=")</f>
        <v>#REF!</v>
      </c>
      <c r="EA127" s="34" t="e">
        <f>AND(#REF!,"AAAAAFnb/4I=")</f>
        <v>#REF!</v>
      </c>
      <c r="EB127" s="34" t="e">
        <f>AND(#REF!,"AAAAAFnb/4M=")</f>
        <v>#REF!</v>
      </c>
      <c r="EC127" s="34" t="e">
        <f>AND(#REF!,"AAAAAFnb/4Q=")</f>
        <v>#REF!</v>
      </c>
      <c r="ED127" s="34" t="e">
        <f>AND(#REF!,"AAAAAFnb/4U=")</f>
        <v>#REF!</v>
      </c>
      <c r="EE127" s="34" t="e">
        <f>AND(#REF!,"AAAAAFnb/4Y=")</f>
        <v>#REF!</v>
      </c>
      <c r="EF127" s="34" t="e">
        <f>AND(#REF!,"AAAAAFnb/4c=")</f>
        <v>#REF!</v>
      </c>
      <c r="EG127" s="34" t="e">
        <f>AND(#REF!,"AAAAAFnb/4g=")</f>
        <v>#REF!</v>
      </c>
      <c r="EH127" s="34" t="e">
        <f>AND(#REF!,"AAAAAFnb/4k=")</f>
        <v>#REF!</v>
      </c>
      <c r="EI127" s="34" t="e">
        <f>AND(#REF!,"AAAAAFnb/4o=")</f>
        <v>#REF!</v>
      </c>
      <c r="EJ127" s="34" t="e">
        <f>AND(#REF!,"AAAAAFnb/4s=")</f>
        <v>#REF!</v>
      </c>
      <c r="EK127" s="34" t="e">
        <f>AND(#REF!,"AAAAAFnb/4w=")</f>
        <v>#REF!</v>
      </c>
      <c r="EL127" s="34" t="e">
        <f>AND(#REF!,"AAAAAFnb/40=")</f>
        <v>#REF!</v>
      </c>
      <c r="EM127" s="34" t="e">
        <f>AND(#REF!,"AAAAAFnb/44=")</f>
        <v>#REF!</v>
      </c>
      <c r="EN127" s="34" t="e">
        <f>IF(#REF!,"AAAAAFnb/48=",0)</f>
        <v>#REF!</v>
      </c>
      <c r="EO127" s="34" t="e">
        <f>AND(#REF!,"AAAAAFnb/5A=")</f>
        <v>#REF!</v>
      </c>
      <c r="EP127" s="34" t="e">
        <f>AND(#REF!,"AAAAAFnb/5E=")</f>
        <v>#REF!</v>
      </c>
      <c r="EQ127" s="34" t="e">
        <f>AND(#REF!,"AAAAAFnb/5I=")</f>
        <v>#REF!</v>
      </c>
      <c r="ER127" s="34" t="e">
        <f>AND(#REF!,"AAAAAFnb/5M=")</f>
        <v>#REF!</v>
      </c>
      <c r="ES127" s="34" t="e">
        <f>AND(#REF!,"AAAAAFnb/5Q=")</f>
        <v>#REF!</v>
      </c>
      <c r="ET127" s="34" t="e">
        <f>AND(#REF!,"AAAAAFnb/5U=")</f>
        <v>#REF!</v>
      </c>
      <c r="EU127" s="34" t="e">
        <f>AND(#REF!,"AAAAAFnb/5Y=")</f>
        <v>#REF!</v>
      </c>
      <c r="EV127" s="34" t="e">
        <f>AND(#REF!,"AAAAAFnb/5c=")</f>
        <v>#REF!</v>
      </c>
      <c r="EW127" s="34" t="e">
        <f>AND(#REF!,"AAAAAFnb/5g=")</f>
        <v>#REF!</v>
      </c>
      <c r="EX127" s="34" t="e">
        <f>AND(#REF!,"AAAAAFnb/5k=")</f>
        <v>#REF!</v>
      </c>
      <c r="EY127" s="34" t="e">
        <f>AND(#REF!,"AAAAAFnb/5o=")</f>
        <v>#REF!</v>
      </c>
      <c r="EZ127" s="34" t="e">
        <f>AND(#REF!,"AAAAAFnb/5s=")</f>
        <v>#REF!</v>
      </c>
      <c r="FA127" s="34" t="e">
        <f>AND(#REF!,"AAAAAFnb/5w=")</f>
        <v>#REF!</v>
      </c>
      <c r="FB127" s="34" t="e">
        <f>AND(#REF!,"AAAAAFnb/50=")</f>
        <v>#REF!</v>
      </c>
      <c r="FC127" s="34" t="e">
        <f>AND(#REF!,"AAAAAFnb/54=")</f>
        <v>#REF!</v>
      </c>
      <c r="FD127" s="34" t="e">
        <f>AND(#REF!,"AAAAAFnb/58=")</f>
        <v>#REF!</v>
      </c>
      <c r="FE127" s="34" t="e">
        <f>AND(#REF!,"AAAAAFnb/6A=")</f>
        <v>#REF!</v>
      </c>
      <c r="FF127" s="34" t="e">
        <f>AND(#REF!,"AAAAAFnb/6E=")</f>
        <v>#REF!</v>
      </c>
      <c r="FG127" s="34" t="e">
        <f>AND(#REF!,"AAAAAFnb/6I=")</f>
        <v>#REF!</v>
      </c>
      <c r="FH127" s="34" t="e">
        <f>AND(#REF!,"AAAAAFnb/6M=")</f>
        <v>#REF!</v>
      </c>
      <c r="FI127" s="34" t="e">
        <f>AND(#REF!,"AAAAAFnb/6Q=")</f>
        <v>#REF!</v>
      </c>
      <c r="FJ127" s="34" t="e">
        <f>AND(#REF!,"AAAAAFnb/6U=")</f>
        <v>#REF!</v>
      </c>
      <c r="FK127" s="34" t="e">
        <f>AND(#REF!,"AAAAAFnb/6Y=")</f>
        <v>#REF!</v>
      </c>
      <c r="FL127" s="34" t="e">
        <f>AND(#REF!,"AAAAAFnb/6c=")</f>
        <v>#REF!</v>
      </c>
      <c r="FM127" s="34" t="e">
        <f>AND(#REF!,"AAAAAFnb/6g=")</f>
        <v>#REF!</v>
      </c>
      <c r="FN127" s="34" t="e">
        <f>AND(#REF!,"AAAAAFnb/6k=")</f>
        <v>#REF!</v>
      </c>
      <c r="FO127" s="34" t="e">
        <f>AND(#REF!,"AAAAAFnb/6o=")</f>
        <v>#REF!</v>
      </c>
      <c r="FP127" s="34" t="e">
        <f>AND(#REF!,"AAAAAFnb/6s=")</f>
        <v>#REF!</v>
      </c>
      <c r="FQ127" s="34" t="e">
        <f>AND(#REF!,"AAAAAFnb/6w=")</f>
        <v>#REF!</v>
      </c>
      <c r="FR127" s="34" t="e">
        <f>AND(#REF!,"AAAAAFnb/60=")</f>
        <v>#REF!</v>
      </c>
      <c r="FS127" s="34" t="e">
        <f>AND(#REF!,"AAAAAFnb/64=")</f>
        <v>#REF!</v>
      </c>
      <c r="FT127" s="34" t="e">
        <f>AND(#REF!,"AAAAAFnb/68=")</f>
        <v>#REF!</v>
      </c>
      <c r="FU127" s="34" t="e">
        <f>AND(#REF!,"AAAAAFnb/7A=")</f>
        <v>#REF!</v>
      </c>
      <c r="FV127" s="34" t="e">
        <f>AND(#REF!,"AAAAAFnb/7E=")</f>
        <v>#REF!</v>
      </c>
      <c r="FW127" s="34" t="e">
        <f>AND(#REF!,"AAAAAFnb/7I=")</f>
        <v>#REF!</v>
      </c>
      <c r="FX127" s="34" t="e">
        <f>AND(#REF!,"AAAAAFnb/7M=")</f>
        <v>#REF!</v>
      </c>
      <c r="FY127" s="34" t="e">
        <f>AND(#REF!,"AAAAAFnb/7Q=")</f>
        <v>#REF!</v>
      </c>
      <c r="FZ127" s="34" t="e">
        <f>AND(#REF!,"AAAAAFnb/7U=")</f>
        <v>#REF!</v>
      </c>
      <c r="GA127" s="34" t="e">
        <f>AND(#REF!,"AAAAAFnb/7Y=")</f>
        <v>#REF!</v>
      </c>
      <c r="GB127" s="34" t="e">
        <f>AND(#REF!,"AAAAAFnb/7c=")</f>
        <v>#REF!</v>
      </c>
      <c r="GC127" s="34" t="e">
        <f>AND(#REF!,"AAAAAFnb/7g=")</f>
        <v>#REF!</v>
      </c>
      <c r="GD127" s="34" t="e">
        <f>AND(#REF!,"AAAAAFnb/7k=")</f>
        <v>#REF!</v>
      </c>
      <c r="GE127" s="34" t="e">
        <f>IF(#REF!,"AAAAAFnb/7o=",0)</f>
        <v>#REF!</v>
      </c>
      <c r="GF127" s="34" t="e">
        <f>AND(#REF!,"AAAAAFnb/7s=")</f>
        <v>#REF!</v>
      </c>
      <c r="GG127" s="34" t="e">
        <f>AND(#REF!,"AAAAAFnb/7w=")</f>
        <v>#REF!</v>
      </c>
      <c r="GH127" s="34" t="e">
        <f>AND(#REF!,"AAAAAFnb/70=")</f>
        <v>#REF!</v>
      </c>
      <c r="GI127" s="34" t="e">
        <f>AND(#REF!,"AAAAAFnb/74=")</f>
        <v>#REF!</v>
      </c>
      <c r="GJ127" s="34" t="e">
        <f>AND(#REF!,"AAAAAFnb/78=")</f>
        <v>#REF!</v>
      </c>
      <c r="GK127" s="34" t="e">
        <f>AND(#REF!,"AAAAAFnb/8A=")</f>
        <v>#REF!</v>
      </c>
      <c r="GL127" s="34" t="e">
        <f>AND(#REF!,"AAAAAFnb/8E=")</f>
        <v>#REF!</v>
      </c>
      <c r="GM127" s="34" t="e">
        <f>AND(#REF!,"AAAAAFnb/8I=")</f>
        <v>#REF!</v>
      </c>
      <c r="GN127" s="34" t="e">
        <f>AND(#REF!,"AAAAAFnb/8M=")</f>
        <v>#REF!</v>
      </c>
      <c r="GO127" s="34" t="e">
        <f>AND(#REF!,"AAAAAFnb/8Q=")</f>
        <v>#REF!</v>
      </c>
      <c r="GP127" s="34" t="e">
        <f>AND(#REF!,"AAAAAFnb/8U=")</f>
        <v>#REF!</v>
      </c>
      <c r="GQ127" s="34" t="e">
        <f>AND(#REF!,"AAAAAFnb/8Y=")</f>
        <v>#REF!</v>
      </c>
      <c r="GR127" s="34" t="e">
        <f>AND(#REF!,"AAAAAFnb/8c=")</f>
        <v>#REF!</v>
      </c>
      <c r="GS127" s="34" t="e">
        <f>AND(#REF!,"AAAAAFnb/8g=")</f>
        <v>#REF!</v>
      </c>
      <c r="GT127" s="34" t="e">
        <f>AND(#REF!,"AAAAAFnb/8k=")</f>
        <v>#REF!</v>
      </c>
      <c r="GU127" s="34" t="e">
        <f>AND(#REF!,"AAAAAFnb/8o=")</f>
        <v>#REF!</v>
      </c>
      <c r="GV127" s="34" t="e">
        <f>AND(#REF!,"AAAAAFnb/8s=")</f>
        <v>#REF!</v>
      </c>
      <c r="GW127" s="34" t="e">
        <f>AND(#REF!,"AAAAAFnb/8w=")</f>
        <v>#REF!</v>
      </c>
      <c r="GX127" s="34" t="e">
        <f>AND(#REF!,"AAAAAFnb/80=")</f>
        <v>#REF!</v>
      </c>
      <c r="GY127" s="34" t="e">
        <f>AND(#REF!,"AAAAAFnb/84=")</f>
        <v>#REF!</v>
      </c>
      <c r="GZ127" s="34" t="e">
        <f>AND(#REF!,"AAAAAFnb/88=")</f>
        <v>#REF!</v>
      </c>
      <c r="HA127" s="34" t="e">
        <f>AND(#REF!,"AAAAAFnb/9A=")</f>
        <v>#REF!</v>
      </c>
      <c r="HB127" s="34" t="e">
        <f>AND(#REF!,"AAAAAFnb/9E=")</f>
        <v>#REF!</v>
      </c>
      <c r="HC127" s="34" t="e">
        <f>AND(#REF!,"AAAAAFnb/9I=")</f>
        <v>#REF!</v>
      </c>
      <c r="HD127" s="34" t="e">
        <f>AND(#REF!,"AAAAAFnb/9M=")</f>
        <v>#REF!</v>
      </c>
      <c r="HE127" s="34" t="e">
        <f>AND(#REF!,"AAAAAFnb/9Q=")</f>
        <v>#REF!</v>
      </c>
      <c r="HF127" s="34" t="e">
        <f>AND(#REF!,"AAAAAFnb/9U=")</f>
        <v>#REF!</v>
      </c>
      <c r="HG127" s="34" t="e">
        <f>AND(#REF!,"AAAAAFnb/9Y=")</f>
        <v>#REF!</v>
      </c>
      <c r="HH127" s="34" t="e">
        <f>AND(#REF!,"AAAAAFnb/9c=")</f>
        <v>#REF!</v>
      </c>
      <c r="HI127" s="34" t="e">
        <f>AND(#REF!,"AAAAAFnb/9g=")</f>
        <v>#REF!</v>
      </c>
      <c r="HJ127" s="34" t="e">
        <f>AND(#REF!,"AAAAAFnb/9k=")</f>
        <v>#REF!</v>
      </c>
      <c r="HK127" s="34" t="e">
        <f>AND(#REF!,"AAAAAFnb/9o=")</f>
        <v>#REF!</v>
      </c>
      <c r="HL127" s="34" t="e">
        <f>AND(#REF!,"AAAAAFnb/9s=")</f>
        <v>#REF!</v>
      </c>
      <c r="HM127" s="34" t="e">
        <f>AND(#REF!,"AAAAAFnb/9w=")</f>
        <v>#REF!</v>
      </c>
      <c r="HN127" s="34" t="e">
        <f>AND(#REF!,"AAAAAFnb/90=")</f>
        <v>#REF!</v>
      </c>
      <c r="HO127" s="34" t="e">
        <f>AND(#REF!,"AAAAAFnb/94=")</f>
        <v>#REF!</v>
      </c>
      <c r="HP127" s="34" t="e">
        <f>AND(#REF!,"AAAAAFnb/98=")</f>
        <v>#REF!</v>
      </c>
      <c r="HQ127" s="34" t="e">
        <f>AND(#REF!,"AAAAAFnb/+A=")</f>
        <v>#REF!</v>
      </c>
      <c r="HR127" s="34" t="e">
        <f>AND(#REF!,"AAAAAFnb/+E=")</f>
        <v>#REF!</v>
      </c>
      <c r="HS127" s="34" t="e">
        <f>AND(#REF!,"AAAAAFnb/+I=")</f>
        <v>#REF!</v>
      </c>
      <c r="HT127" s="34" t="e">
        <f>AND(#REF!,"AAAAAFnb/+M=")</f>
        <v>#REF!</v>
      </c>
      <c r="HU127" s="34" t="e">
        <f>AND(#REF!,"AAAAAFnb/+Q=")</f>
        <v>#REF!</v>
      </c>
      <c r="HV127" s="34" t="e">
        <f>IF(#REF!,"AAAAAFnb/+U=",0)</f>
        <v>#REF!</v>
      </c>
      <c r="HW127" s="34" t="e">
        <f>AND(#REF!,"AAAAAFnb/+Y=")</f>
        <v>#REF!</v>
      </c>
      <c r="HX127" s="34" t="e">
        <f>AND(#REF!,"AAAAAFnb/+c=")</f>
        <v>#REF!</v>
      </c>
      <c r="HY127" s="34" t="e">
        <f>AND(#REF!,"AAAAAFnb/+g=")</f>
        <v>#REF!</v>
      </c>
      <c r="HZ127" s="34" t="e">
        <f>AND(#REF!,"AAAAAFnb/+k=")</f>
        <v>#REF!</v>
      </c>
      <c r="IA127" s="34" t="e">
        <f>AND(#REF!,"AAAAAFnb/+o=")</f>
        <v>#REF!</v>
      </c>
      <c r="IB127" s="34" t="e">
        <f>AND(#REF!,"AAAAAFnb/+s=")</f>
        <v>#REF!</v>
      </c>
      <c r="IC127" s="34" t="e">
        <f>AND(#REF!,"AAAAAFnb/+w=")</f>
        <v>#REF!</v>
      </c>
      <c r="ID127" s="34" t="e">
        <f>AND(#REF!,"AAAAAFnb/+0=")</f>
        <v>#REF!</v>
      </c>
      <c r="IE127" s="34" t="e">
        <f>AND(#REF!,"AAAAAFnb/+4=")</f>
        <v>#REF!</v>
      </c>
      <c r="IF127" s="34" t="e">
        <f>AND(#REF!,"AAAAAFnb/+8=")</f>
        <v>#REF!</v>
      </c>
      <c r="IG127" s="34" t="e">
        <f>AND(#REF!,"AAAAAFnb//A=")</f>
        <v>#REF!</v>
      </c>
      <c r="IH127" s="34" t="e">
        <f>AND(#REF!,"AAAAAFnb//E=")</f>
        <v>#REF!</v>
      </c>
      <c r="II127" s="34" t="e">
        <f>AND(#REF!,"AAAAAFnb//I=")</f>
        <v>#REF!</v>
      </c>
      <c r="IJ127" s="34" t="e">
        <f>AND(#REF!,"AAAAAFnb//M=")</f>
        <v>#REF!</v>
      </c>
      <c r="IK127" s="34" t="e">
        <f>AND(#REF!,"AAAAAFnb//Q=")</f>
        <v>#REF!</v>
      </c>
      <c r="IL127" s="34" t="e">
        <f>AND(#REF!,"AAAAAFnb//U=")</f>
        <v>#REF!</v>
      </c>
      <c r="IM127" s="34" t="e">
        <f>AND(#REF!,"AAAAAFnb//Y=")</f>
        <v>#REF!</v>
      </c>
      <c r="IN127" s="34" t="e">
        <f>AND(#REF!,"AAAAAFnb//c=")</f>
        <v>#REF!</v>
      </c>
      <c r="IO127" s="34" t="e">
        <f>AND(#REF!,"AAAAAFnb//g=")</f>
        <v>#REF!</v>
      </c>
      <c r="IP127" s="34" t="e">
        <f>AND(#REF!,"AAAAAFnb//k=")</f>
        <v>#REF!</v>
      </c>
      <c r="IQ127" s="34" t="e">
        <f>AND(#REF!,"AAAAAFnb//o=")</f>
        <v>#REF!</v>
      </c>
      <c r="IR127" s="34" t="e">
        <f>AND(#REF!,"AAAAAFnb//s=")</f>
        <v>#REF!</v>
      </c>
      <c r="IS127" s="34" t="e">
        <f>AND(#REF!,"AAAAAFnb//w=")</f>
        <v>#REF!</v>
      </c>
      <c r="IT127" s="34" t="e">
        <f>AND(#REF!,"AAAAAFnb//0=")</f>
        <v>#REF!</v>
      </c>
      <c r="IU127" s="34" t="e">
        <f>AND(#REF!,"AAAAAFnb//4=")</f>
        <v>#REF!</v>
      </c>
      <c r="IV127" s="34" t="e">
        <f>AND(#REF!,"AAAAAFnb//8=")</f>
        <v>#REF!</v>
      </c>
    </row>
    <row r="128" spans="1:256" ht="12.75" customHeight="1" x14ac:dyDescent="0.2">
      <c r="A128" s="34" t="e">
        <f>AND(#REF!,"AAAAAFn5bwA=")</f>
        <v>#REF!</v>
      </c>
      <c r="B128" s="34" t="e">
        <f>AND(#REF!,"AAAAAFn5bwE=")</f>
        <v>#REF!</v>
      </c>
      <c r="C128" s="34" t="e">
        <f>AND(#REF!,"AAAAAFn5bwI=")</f>
        <v>#REF!</v>
      </c>
      <c r="D128" s="34" t="e">
        <f>AND(#REF!,"AAAAAFn5bwM=")</f>
        <v>#REF!</v>
      </c>
      <c r="E128" s="34" t="e">
        <f>AND(#REF!,"AAAAAFn5bwQ=")</f>
        <v>#REF!</v>
      </c>
      <c r="F128" s="34" t="e">
        <f>AND(#REF!,"AAAAAFn5bwU=")</f>
        <v>#REF!</v>
      </c>
      <c r="G128" s="34" t="e">
        <f>AND(#REF!,"AAAAAFn5bwY=")</f>
        <v>#REF!</v>
      </c>
      <c r="H128" s="34" t="e">
        <f>AND(#REF!,"AAAAAFn5bwc=")</f>
        <v>#REF!</v>
      </c>
      <c r="I128" s="34" t="e">
        <f>AND(#REF!,"AAAAAFn5bwg=")</f>
        <v>#REF!</v>
      </c>
      <c r="J128" s="34" t="e">
        <f>AND(#REF!,"AAAAAFn5bwk=")</f>
        <v>#REF!</v>
      </c>
      <c r="K128" s="34" t="e">
        <f>AND(#REF!,"AAAAAFn5bwo=")</f>
        <v>#REF!</v>
      </c>
      <c r="L128" s="34" t="e">
        <f>AND(#REF!,"AAAAAFn5bws=")</f>
        <v>#REF!</v>
      </c>
      <c r="M128" s="34" t="e">
        <f>AND(#REF!,"AAAAAFn5bww=")</f>
        <v>#REF!</v>
      </c>
      <c r="N128" s="34" t="e">
        <f>AND(#REF!,"AAAAAFn5bw0=")</f>
        <v>#REF!</v>
      </c>
      <c r="O128" s="34" t="e">
        <f>AND(#REF!,"AAAAAFn5bw4=")</f>
        <v>#REF!</v>
      </c>
      <c r="P128" s="34" t="e">
        <f>AND(#REF!,"AAAAAFn5bw8=")</f>
        <v>#REF!</v>
      </c>
      <c r="Q128" s="34" t="e">
        <f>IF(#REF!,"AAAAAFn5bxA=",0)</f>
        <v>#REF!</v>
      </c>
      <c r="R128" s="34" t="e">
        <f>AND(#REF!,"AAAAAFn5bxE=")</f>
        <v>#REF!</v>
      </c>
      <c r="S128" s="34" t="e">
        <f>AND(#REF!,"AAAAAFn5bxI=")</f>
        <v>#REF!</v>
      </c>
      <c r="T128" s="34" t="e">
        <f>AND(#REF!,"AAAAAFn5bxM=")</f>
        <v>#REF!</v>
      </c>
      <c r="U128" s="34" t="e">
        <f>AND(#REF!,"AAAAAFn5bxQ=")</f>
        <v>#REF!</v>
      </c>
      <c r="V128" s="34" t="e">
        <f>AND(#REF!,"AAAAAFn5bxU=")</f>
        <v>#REF!</v>
      </c>
      <c r="W128" s="34" t="e">
        <f>AND(#REF!,"AAAAAFn5bxY=")</f>
        <v>#REF!</v>
      </c>
      <c r="X128" s="34" t="e">
        <f>AND(#REF!,"AAAAAFn5bxc=")</f>
        <v>#REF!</v>
      </c>
      <c r="Y128" s="34" t="e">
        <f>AND(#REF!,"AAAAAFn5bxg=")</f>
        <v>#REF!</v>
      </c>
      <c r="Z128" s="34" t="e">
        <f>AND(#REF!,"AAAAAFn5bxk=")</f>
        <v>#REF!</v>
      </c>
      <c r="AA128" s="34" t="e">
        <f>AND(#REF!,"AAAAAFn5bxo=")</f>
        <v>#REF!</v>
      </c>
      <c r="AB128" s="34" t="e">
        <f>AND(#REF!,"AAAAAFn5bxs=")</f>
        <v>#REF!</v>
      </c>
      <c r="AC128" s="34" t="e">
        <f>AND(#REF!,"AAAAAFn5bxw=")</f>
        <v>#REF!</v>
      </c>
      <c r="AD128" s="34" t="e">
        <f>AND(#REF!,"AAAAAFn5bx0=")</f>
        <v>#REF!</v>
      </c>
      <c r="AE128" s="34" t="e">
        <f>AND(#REF!,"AAAAAFn5bx4=")</f>
        <v>#REF!</v>
      </c>
      <c r="AF128" s="34" t="e">
        <f>AND(#REF!,"AAAAAFn5bx8=")</f>
        <v>#REF!</v>
      </c>
      <c r="AG128" s="34" t="e">
        <f>AND(#REF!,"AAAAAFn5byA=")</f>
        <v>#REF!</v>
      </c>
      <c r="AH128" s="34" t="e">
        <f>AND(#REF!,"AAAAAFn5byE=")</f>
        <v>#REF!</v>
      </c>
      <c r="AI128" s="34" t="e">
        <f>AND(#REF!,"AAAAAFn5byI=")</f>
        <v>#REF!</v>
      </c>
      <c r="AJ128" s="34" t="e">
        <f>AND(#REF!,"AAAAAFn5byM=")</f>
        <v>#REF!</v>
      </c>
      <c r="AK128" s="34" t="e">
        <f>AND(#REF!,"AAAAAFn5byQ=")</f>
        <v>#REF!</v>
      </c>
      <c r="AL128" s="34" t="e">
        <f>AND(#REF!,"AAAAAFn5byU=")</f>
        <v>#REF!</v>
      </c>
      <c r="AM128" s="34" t="e">
        <f>AND(#REF!,"AAAAAFn5byY=")</f>
        <v>#REF!</v>
      </c>
      <c r="AN128" s="34" t="e">
        <f>AND(#REF!,"AAAAAFn5byc=")</f>
        <v>#REF!</v>
      </c>
      <c r="AO128" s="34" t="e">
        <f>AND(#REF!,"AAAAAFn5byg=")</f>
        <v>#REF!</v>
      </c>
      <c r="AP128" s="34" t="e">
        <f>AND(#REF!,"AAAAAFn5byk=")</f>
        <v>#REF!</v>
      </c>
      <c r="AQ128" s="34" t="e">
        <f>AND(#REF!,"AAAAAFn5byo=")</f>
        <v>#REF!</v>
      </c>
      <c r="AR128" s="34" t="e">
        <f>AND(#REF!,"AAAAAFn5bys=")</f>
        <v>#REF!</v>
      </c>
      <c r="AS128" s="34" t="e">
        <f>AND(#REF!,"AAAAAFn5byw=")</f>
        <v>#REF!</v>
      </c>
      <c r="AT128" s="34" t="e">
        <f>AND(#REF!,"AAAAAFn5by0=")</f>
        <v>#REF!</v>
      </c>
      <c r="AU128" s="34" t="e">
        <f>AND(#REF!,"AAAAAFn5by4=")</f>
        <v>#REF!</v>
      </c>
      <c r="AV128" s="34" t="e">
        <f>AND(#REF!,"AAAAAFn5by8=")</f>
        <v>#REF!</v>
      </c>
      <c r="AW128" s="34" t="e">
        <f>AND(#REF!,"AAAAAFn5bzA=")</f>
        <v>#REF!</v>
      </c>
      <c r="AX128" s="34" t="e">
        <f>AND(#REF!,"AAAAAFn5bzE=")</f>
        <v>#REF!</v>
      </c>
      <c r="AY128" s="34" t="e">
        <f>AND(#REF!,"AAAAAFn5bzI=")</f>
        <v>#REF!</v>
      </c>
      <c r="AZ128" s="34" t="e">
        <f>AND(#REF!,"AAAAAFn5bzM=")</f>
        <v>#REF!</v>
      </c>
      <c r="BA128" s="34" t="e">
        <f>AND(#REF!,"AAAAAFn5bzQ=")</f>
        <v>#REF!</v>
      </c>
      <c r="BB128" s="34" t="e">
        <f>AND(#REF!,"AAAAAFn5bzU=")</f>
        <v>#REF!</v>
      </c>
      <c r="BC128" s="34" t="e">
        <f>AND(#REF!,"AAAAAFn5bzY=")</f>
        <v>#REF!</v>
      </c>
      <c r="BD128" s="34" t="e">
        <f>AND(#REF!,"AAAAAFn5bzc=")</f>
        <v>#REF!</v>
      </c>
      <c r="BE128" s="34" t="e">
        <f>AND(#REF!,"AAAAAFn5bzg=")</f>
        <v>#REF!</v>
      </c>
      <c r="BF128" s="34" t="e">
        <f>AND(#REF!,"AAAAAFn5bzk=")</f>
        <v>#REF!</v>
      </c>
      <c r="BG128" s="34" t="e">
        <f>AND(#REF!,"AAAAAFn5bzo=")</f>
        <v>#REF!</v>
      </c>
      <c r="BH128" s="34" t="e">
        <f>IF(#REF!,"AAAAAFn5bzs=",0)</f>
        <v>#REF!</v>
      </c>
      <c r="BI128" s="34" t="e">
        <f>AND(#REF!,"AAAAAFn5bzw=")</f>
        <v>#REF!</v>
      </c>
      <c r="BJ128" s="34" t="e">
        <f>AND(#REF!,"AAAAAFn5bz0=")</f>
        <v>#REF!</v>
      </c>
      <c r="BK128" s="34" t="e">
        <f>AND(#REF!,"AAAAAFn5bz4=")</f>
        <v>#REF!</v>
      </c>
      <c r="BL128" s="34" t="e">
        <f>AND(#REF!,"AAAAAFn5bz8=")</f>
        <v>#REF!</v>
      </c>
      <c r="BM128" s="34" t="e">
        <f>AND(#REF!,"AAAAAFn5b0A=")</f>
        <v>#REF!</v>
      </c>
      <c r="BN128" s="34" t="e">
        <f>AND(#REF!,"AAAAAFn5b0E=")</f>
        <v>#REF!</v>
      </c>
      <c r="BO128" s="34" t="e">
        <f>AND(#REF!,"AAAAAFn5b0I=")</f>
        <v>#REF!</v>
      </c>
      <c r="BP128" s="34" t="e">
        <f>AND(#REF!,"AAAAAFn5b0M=")</f>
        <v>#REF!</v>
      </c>
      <c r="BQ128" s="34" t="e">
        <f>AND(#REF!,"AAAAAFn5b0Q=")</f>
        <v>#REF!</v>
      </c>
      <c r="BR128" s="34" t="e">
        <f>AND(#REF!,"AAAAAFn5b0U=")</f>
        <v>#REF!</v>
      </c>
      <c r="BS128" s="34" t="e">
        <f>AND(#REF!,"AAAAAFn5b0Y=")</f>
        <v>#REF!</v>
      </c>
      <c r="BT128" s="34" t="e">
        <f>AND(#REF!,"AAAAAFn5b0c=")</f>
        <v>#REF!</v>
      </c>
      <c r="BU128" s="34" t="e">
        <f>AND(#REF!,"AAAAAFn5b0g=")</f>
        <v>#REF!</v>
      </c>
      <c r="BV128" s="34" t="e">
        <f>AND(#REF!,"AAAAAFn5b0k=")</f>
        <v>#REF!</v>
      </c>
      <c r="BW128" s="34" t="e">
        <f>AND(#REF!,"AAAAAFn5b0o=")</f>
        <v>#REF!</v>
      </c>
      <c r="BX128" s="34" t="e">
        <f>AND(#REF!,"AAAAAFn5b0s=")</f>
        <v>#REF!</v>
      </c>
      <c r="BY128" s="34" t="e">
        <f>AND(#REF!,"AAAAAFn5b0w=")</f>
        <v>#REF!</v>
      </c>
      <c r="BZ128" s="34" t="e">
        <f>AND(#REF!,"AAAAAFn5b00=")</f>
        <v>#REF!</v>
      </c>
      <c r="CA128" s="34" t="e">
        <f>AND(#REF!,"AAAAAFn5b04=")</f>
        <v>#REF!</v>
      </c>
      <c r="CB128" s="34" t="e">
        <f>AND(#REF!,"AAAAAFn5b08=")</f>
        <v>#REF!</v>
      </c>
      <c r="CC128" s="34" t="e">
        <f>AND(#REF!,"AAAAAFn5b1A=")</f>
        <v>#REF!</v>
      </c>
      <c r="CD128" s="34" t="e">
        <f>AND(#REF!,"AAAAAFn5b1E=")</f>
        <v>#REF!</v>
      </c>
      <c r="CE128" s="34" t="e">
        <f>AND(#REF!,"AAAAAFn5b1I=")</f>
        <v>#REF!</v>
      </c>
      <c r="CF128" s="34" t="e">
        <f>AND(#REF!,"AAAAAFn5b1M=")</f>
        <v>#REF!</v>
      </c>
      <c r="CG128" s="34" t="e">
        <f>AND(#REF!,"AAAAAFn5b1Q=")</f>
        <v>#REF!</v>
      </c>
      <c r="CH128" s="34" t="e">
        <f>AND(#REF!,"AAAAAFn5b1U=")</f>
        <v>#REF!</v>
      </c>
      <c r="CI128" s="34" t="e">
        <f>AND(#REF!,"AAAAAFn5b1Y=")</f>
        <v>#REF!</v>
      </c>
      <c r="CJ128" s="34" t="e">
        <f>AND(#REF!,"AAAAAFn5b1c=")</f>
        <v>#REF!</v>
      </c>
      <c r="CK128" s="34" t="e">
        <f>AND(#REF!,"AAAAAFn5b1g=")</f>
        <v>#REF!</v>
      </c>
      <c r="CL128" s="34" t="e">
        <f>AND(#REF!,"AAAAAFn5b1k=")</f>
        <v>#REF!</v>
      </c>
      <c r="CM128" s="34" t="e">
        <f>AND(#REF!,"AAAAAFn5b1o=")</f>
        <v>#REF!</v>
      </c>
      <c r="CN128" s="34" t="e">
        <f>AND(#REF!,"AAAAAFn5b1s=")</f>
        <v>#REF!</v>
      </c>
      <c r="CO128" s="34" t="e">
        <f>AND(#REF!,"AAAAAFn5b1w=")</f>
        <v>#REF!</v>
      </c>
      <c r="CP128" s="34" t="e">
        <f>AND(#REF!,"AAAAAFn5b10=")</f>
        <v>#REF!</v>
      </c>
      <c r="CQ128" s="34" t="e">
        <f>AND(#REF!,"AAAAAFn5b14=")</f>
        <v>#REF!</v>
      </c>
      <c r="CR128" s="34" t="e">
        <f>AND(#REF!,"AAAAAFn5b18=")</f>
        <v>#REF!</v>
      </c>
      <c r="CS128" s="34" t="e">
        <f>AND(#REF!,"AAAAAFn5b2A=")</f>
        <v>#REF!</v>
      </c>
      <c r="CT128" s="34" t="e">
        <f>AND(#REF!,"AAAAAFn5b2E=")</f>
        <v>#REF!</v>
      </c>
      <c r="CU128" s="34" t="e">
        <f>AND(#REF!,"AAAAAFn5b2I=")</f>
        <v>#REF!</v>
      </c>
      <c r="CV128" s="34" t="e">
        <f>AND(#REF!,"AAAAAFn5b2M=")</f>
        <v>#REF!</v>
      </c>
      <c r="CW128" s="34" t="e">
        <f>AND(#REF!,"AAAAAFn5b2Q=")</f>
        <v>#REF!</v>
      </c>
      <c r="CX128" s="34" t="e">
        <f>AND(#REF!,"AAAAAFn5b2U=")</f>
        <v>#REF!</v>
      </c>
      <c r="CY128" s="34" t="e">
        <f>IF(#REF!,"AAAAAFn5b2Y=",0)</f>
        <v>#REF!</v>
      </c>
      <c r="CZ128" s="34" t="e">
        <f>AND(#REF!,"AAAAAFn5b2c=")</f>
        <v>#REF!</v>
      </c>
      <c r="DA128" s="34" t="e">
        <f>AND(#REF!,"AAAAAFn5b2g=")</f>
        <v>#REF!</v>
      </c>
      <c r="DB128" s="34" t="e">
        <f>AND(#REF!,"AAAAAFn5b2k=")</f>
        <v>#REF!</v>
      </c>
      <c r="DC128" s="34" t="e">
        <f>AND(#REF!,"AAAAAFn5b2o=")</f>
        <v>#REF!</v>
      </c>
      <c r="DD128" s="34" t="e">
        <f>AND(#REF!,"AAAAAFn5b2s=")</f>
        <v>#REF!</v>
      </c>
      <c r="DE128" s="34" t="e">
        <f>AND(#REF!,"AAAAAFn5b2w=")</f>
        <v>#REF!</v>
      </c>
      <c r="DF128" s="34" t="e">
        <f>AND(#REF!,"AAAAAFn5b20=")</f>
        <v>#REF!</v>
      </c>
      <c r="DG128" s="34" t="e">
        <f>AND(#REF!,"AAAAAFn5b24=")</f>
        <v>#REF!</v>
      </c>
      <c r="DH128" s="34" t="e">
        <f>AND(#REF!,"AAAAAFn5b28=")</f>
        <v>#REF!</v>
      </c>
      <c r="DI128" s="34" t="e">
        <f>AND(#REF!,"AAAAAFn5b3A=")</f>
        <v>#REF!</v>
      </c>
      <c r="DJ128" s="34" t="e">
        <f>AND(#REF!,"AAAAAFn5b3E=")</f>
        <v>#REF!</v>
      </c>
      <c r="DK128" s="34" t="e">
        <f>AND(#REF!,"AAAAAFn5b3I=")</f>
        <v>#REF!</v>
      </c>
      <c r="DL128" s="34" t="e">
        <f>AND(#REF!,"AAAAAFn5b3M=")</f>
        <v>#REF!</v>
      </c>
      <c r="DM128" s="34" t="e">
        <f>AND(#REF!,"AAAAAFn5b3Q=")</f>
        <v>#REF!</v>
      </c>
      <c r="DN128" s="34" t="e">
        <f>AND(#REF!,"AAAAAFn5b3U=")</f>
        <v>#REF!</v>
      </c>
      <c r="DO128" s="34" t="e">
        <f>AND(#REF!,"AAAAAFn5b3Y=")</f>
        <v>#REF!</v>
      </c>
      <c r="DP128" s="34" t="e">
        <f>AND(#REF!,"AAAAAFn5b3c=")</f>
        <v>#REF!</v>
      </c>
      <c r="DQ128" s="34" t="e">
        <f>AND(#REF!,"AAAAAFn5b3g=")</f>
        <v>#REF!</v>
      </c>
      <c r="DR128" s="34" t="e">
        <f>AND(#REF!,"AAAAAFn5b3k=")</f>
        <v>#REF!</v>
      </c>
      <c r="DS128" s="34" t="e">
        <f>AND(#REF!,"AAAAAFn5b3o=")</f>
        <v>#REF!</v>
      </c>
      <c r="DT128" s="34" t="e">
        <f>AND(#REF!,"AAAAAFn5b3s=")</f>
        <v>#REF!</v>
      </c>
      <c r="DU128" s="34" t="e">
        <f>AND(#REF!,"AAAAAFn5b3w=")</f>
        <v>#REF!</v>
      </c>
      <c r="DV128" s="34" t="e">
        <f>AND(#REF!,"AAAAAFn5b30=")</f>
        <v>#REF!</v>
      </c>
      <c r="DW128" s="34" t="e">
        <f>AND(#REF!,"AAAAAFn5b34=")</f>
        <v>#REF!</v>
      </c>
      <c r="DX128" s="34" t="e">
        <f>AND(#REF!,"AAAAAFn5b38=")</f>
        <v>#REF!</v>
      </c>
      <c r="DY128" s="34" t="e">
        <f>AND(#REF!,"AAAAAFn5b4A=")</f>
        <v>#REF!</v>
      </c>
      <c r="DZ128" s="34" t="e">
        <f>AND(#REF!,"AAAAAFn5b4E=")</f>
        <v>#REF!</v>
      </c>
      <c r="EA128" s="34" t="e">
        <f>AND(#REF!,"AAAAAFn5b4I=")</f>
        <v>#REF!</v>
      </c>
      <c r="EB128" s="34" t="e">
        <f>AND(#REF!,"AAAAAFn5b4M=")</f>
        <v>#REF!</v>
      </c>
      <c r="EC128" s="34" t="e">
        <f>AND(#REF!,"AAAAAFn5b4Q=")</f>
        <v>#REF!</v>
      </c>
      <c r="ED128" s="34" t="e">
        <f>AND(#REF!,"AAAAAFn5b4U=")</f>
        <v>#REF!</v>
      </c>
      <c r="EE128" s="34" t="e">
        <f>AND(#REF!,"AAAAAFn5b4Y=")</f>
        <v>#REF!</v>
      </c>
      <c r="EF128" s="34" t="e">
        <f>AND(#REF!,"AAAAAFn5b4c=")</f>
        <v>#REF!</v>
      </c>
      <c r="EG128" s="34" t="e">
        <f>AND(#REF!,"AAAAAFn5b4g=")</f>
        <v>#REF!</v>
      </c>
      <c r="EH128" s="34" t="e">
        <f>AND(#REF!,"AAAAAFn5b4k=")</f>
        <v>#REF!</v>
      </c>
      <c r="EI128" s="34" t="e">
        <f>AND(#REF!,"AAAAAFn5b4o=")</f>
        <v>#REF!</v>
      </c>
      <c r="EJ128" s="34" t="e">
        <f>AND(#REF!,"AAAAAFn5b4s=")</f>
        <v>#REF!</v>
      </c>
      <c r="EK128" s="34" t="e">
        <f>AND(#REF!,"AAAAAFn5b4w=")</f>
        <v>#REF!</v>
      </c>
      <c r="EL128" s="34" t="e">
        <f>AND(#REF!,"AAAAAFn5b40=")</f>
        <v>#REF!</v>
      </c>
      <c r="EM128" s="34" t="e">
        <f>AND(#REF!,"AAAAAFn5b44=")</f>
        <v>#REF!</v>
      </c>
      <c r="EN128" s="34" t="e">
        <f>AND(#REF!,"AAAAAFn5b48=")</f>
        <v>#REF!</v>
      </c>
      <c r="EO128" s="34" t="e">
        <f>AND(#REF!,"AAAAAFn5b5A=")</f>
        <v>#REF!</v>
      </c>
      <c r="EP128" s="34" t="e">
        <f>IF(#REF!,"AAAAAFn5b5E=",0)</f>
        <v>#REF!</v>
      </c>
      <c r="EQ128" s="34" t="e">
        <f>AND(#REF!,"AAAAAFn5b5I=")</f>
        <v>#REF!</v>
      </c>
      <c r="ER128" s="34" t="e">
        <f>AND(#REF!,"AAAAAFn5b5M=")</f>
        <v>#REF!</v>
      </c>
      <c r="ES128" s="34" t="e">
        <f>AND(#REF!,"AAAAAFn5b5Q=")</f>
        <v>#REF!</v>
      </c>
      <c r="ET128" s="34" t="e">
        <f>AND(#REF!,"AAAAAFn5b5U=")</f>
        <v>#REF!</v>
      </c>
      <c r="EU128" s="34" t="e">
        <f>AND(#REF!,"AAAAAFn5b5Y=")</f>
        <v>#REF!</v>
      </c>
      <c r="EV128" s="34" t="e">
        <f>AND(#REF!,"AAAAAFn5b5c=")</f>
        <v>#REF!</v>
      </c>
      <c r="EW128" s="34" t="e">
        <f>AND(#REF!,"AAAAAFn5b5g=")</f>
        <v>#REF!</v>
      </c>
      <c r="EX128" s="34" t="e">
        <f>AND(#REF!,"AAAAAFn5b5k=")</f>
        <v>#REF!</v>
      </c>
      <c r="EY128" s="34" t="e">
        <f>AND(#REF!,"AAAAAFn5b5o=")</f>
        <v>#REF!</v>
      </c>
      <c r="EZ128" s="34" t="e">
        <f>AND(#REF!,"AAAAAFn5b5s=")</f>
        <v>#REF!</v>
      </c>
      <c r="FA128" s="34" t="e">
        <f>AND(#REF!,"AAAAAFn5b5w=")</f>
        <v>#REF!</v>
      </c>
      <c r="FB128" s="34" t="e">
        <f>AND(#REF!,"AAAAAFn5b50=")</f>
        <v>#REF!</v>
      </c>
      <c r="FC128" s="34" t="e">
        <f>AND(#REF!,"AAAAAFn5b54=")</f>
        <v>#REF!</v>
      </c>
      <c r="FD128" s="34" t="e">
        <f>AND(#REF!,"AAAAAFn5b58=")</f>
        <v>#REF!</v>
      </c>
      <c r="FE128" s="34" t="e">
        <f>AND(#REF!,"AAAAAFn5b6A=")</f>
        <v>#REF!</v>
      </c>
      <c r="FF128" s="34" t="e">
        <f>AND(#REF!,"AAAAAFn5b6E=")</f>
        <v>#REF!</v>
      </c>
      <c r="FG128" s="34" t="e">
        <f>AND(#REF!,"AAAAAFn5b6I=")</f>
        <v>#REF!</v>
      </c>
      <c r="FH128" s="34" t="e">
        <f>AND(#REF!,"AAAAAFn5b6M=")</f>
        <v>#REF!</v>
      </c>
      <c r="FI128" s="34" t="e">
        <f>AND(#REF!,"AAAAAFn5b6Q=")</f>
        <v>#REF!</v>
      </c>
      <c r="FJ128" s="34" t="e">
        <f>AND(#REF!,"AAAAAFn5b6U=")</f>
        <v>#REF!</v>
      </c>
      <c r="FK128" s="34" t="e">
        <f>AND(#REF!,"AAAAAFn5b6Y=")</f>
        <v>#REF!</v>
      </c>
      <c r="FL128" s="34" t="e">
        <f>AND(#REF!,"AAAAAFn5b6c=")</f>
        <v>#REF!</v>
      </c>
      <c r="FM128" s="34" t="e">
        <f>AND(#REF!,"AAAAAFn5b6g=")</f>
        <v>#REF!</v>
      </c>
      <c r="FN128" s="34" t="e">
        <f>AND(#REF!,"AAAAAFn5b6k=")</f>
        <v>#REF!</v>
      </c>
      <c r="FO128" s="34" t="e">
        <f>AND(#REF!,"AAAAAFn5b6o=")</f>
        <v>#REF!</v>
      </c>
      <c r="FP128" s="34" t="e">
        <f>AND(#REF!,"AAAAAFn5b6s=")</f>
        <v>#REF!</v>
      </c>
      <c r="FQ128" s="34" t="e">
        <f>AND(#REF!,"AAAAAFn5b6w=")</f>
        <v>#REF!</v>
      </c>
      <c r="FR128" s="34" t="e">
        <f>AND(#REF!,"AAAAAFn5b60=")</f>
        <v>#REF!</v>
      </c>
      <c r="FS128" s="34" t="e">
        <f>AND(#REF!,"AAAAAFn5b64=")</f>
        <v>#REF!</v>
      </c>
      <c r="FT128" s="34" t="e">
        <f>AND(#REF!,"AAAAAFn5b68=")</f>
        <v>#REF!</v>
      </c>
      <c r="FU128" s="34" t="e">
        <f>AND(#REF!,"AAAAAFn5b7A=")</f>
        <v>#REF!</v>
      </c>
      <c r="FV128" s="34" t="e">
        <f>AND(#REF!,"AAAAAFn5b7E=")</f>
        <v>#REF!</v>
      </c>
      <c r="FW128" s="34" t="e">
        <f>AND(#REF!,"AAAAAFn5b7I=")</f>
        <v>#REF!</v>
      </c>
      <c r="FX128" s="34" t="e">
        <f>AND(#REF!,"AAAAAFn5b7M=")</f>
        <v>#REF!</v>
      </c>
      <c r="FY128" s="34" t="e">
        <f>AND(#REF!,"AAAAAFn5b7Q=")</f>
        <v>#REF!</v>
      </c>
      <c r="FZ128" s="34" t="e">
        <f>AND(#REF!,"AAAAAFn5b7U=")</f>
        <v>#REF!</v>
      </c>
      <c r="GA128" s="34" t="e">
        <f>AND(#REF!,"AAAAAFn5b7Y=")</f>
        <v>#REF!</v>
      </c>
      <c r="GB128" s="34" t="e">
        <f>AND(#REF!,"AAAAAFn5b7c=")</f>
        <v>#REF!</v>
      </c>
      <c r="GC128" s="34" t="e">
        <f>AND(#REF!,"AAAAAFn5b7g=")</f>
        <v>#REF!</v>
      </c>
      <c r="GD128" s="34" t="e">
        <f>AND(#REF!,"AAAAAFn5b7k=")</f>
        <v>#REF!</v>
      </c>
      <c r="GE128" s="34" t="e">
        <f>AND(#REF!,"AAAAAFn5b7o=")</f>
        <v>#REF!</v>
      </c>
      <c r="GF128" s="34" t="e">
        <f>AND(#REF!,"AAAAAFn5b7s=")</f>
        <v>#REF!</v>
      </c>
      <c r="GG128" s="34" t="e">
        <f>IF(#REF!,"AAAAAFn5b7w=",0)</f>
        <v>#REF!</v>
      </c>
      <c r="GH128" s="34" t="e">
        <f>AND(#REF!,"AAAAAFn5b70=")</f>
        <v>#REF!</v>
      </c>
      <c r="GI128" s="34" t="e">
        <f>AND(#REF!,"AAAAAFn5b74=")</f>
        <v>#REF!</v>
      </c>
      <c r="GJ128" s="34" t="e">
        <f>AND(#REF!,"AAAAAFn5b78=")</f>
        <v>#REF!</v>
      </c>
      <c r="GK128" s="34" t="e">
        <f>AND(#REF!,"AAAAAFn5b8A=")</f>
        <v>#REF!</v>
      </c>
      <c r="GL128" s="34" t="e">
        <f>AND(#REF!,"AAAAAFn5b8E=")</f>
        <v>#REF!</v>
      </c>
      <c r="GM128" s="34" t="e">
        <f>AND(#REF!,"AAAAAFn5b8I=")</f>
        <v>#REF!</v>
      </c>
      <c r="GN128" s="34" t="e">
        <f>AND(#REF!,"AAAAAFn5b8M=")</f>
        <v>#REF!</v>
      </c>
      <c r="GO128" s="34" t="e">
        <f>AND(#REF!,"AAAAAFn5b8Q=")</f>
        <v>#REF!</v>
      </c>
      <c r="GP128" s="34" t="e">
        <f>AND(#REF!,"AAAAAFn5b8U=")</f>
        <v>#REF!</v>
      </c>
      <c r="GQ128" s="34" t="e">
        <f>AND(#REF!,"AAAAAFn5b8Y=")</f>
        <v>#REF!</v>
      </c>
      <c r="GR128" s="34" t="e">
        <f>AND(#REF!,"AAAAAFn5b8c=")</f>
        <v>#REF!</v>
      </c>
      <c r="GS128" s="34" t="e">
        <f>AND(#REF!,"AAAAAFn5b8g=")</f>
        <v>#REF!</v>
      </c>
      <c r="GT128" s="34" t="e">
        <f>AND(#REF!,"AAAAAFn5b8k=")</f>
        <v>#REF!</v>
      </c>
      <c r="GU128" s="34" t="e">
        <f>AND(#REF!,"AAAAAFn5b8o=")</f>
        <v>#REF!</v>
      </c>
      <c r="GV128" s="34" t="e">
        <f>AND(#REF!,"AAAAAFn5b8s=")</f>
        <v>#REF!</v>
      </c>
      <c r="GW128" s="34" t="e">
        <f>AND(#REF!,"AAAAAFn5b8w=")</f>
        <v>#REF!</v>
      </c>
      <c r="GX128" s="34" t="e">
        <f>AND(#REF!,"AAAAAFn5b80=")</f>
        <v>#REF!</v>
      </c>
      <c r="GY128" s="34" t="e">
        <f>AND(#REF!,"AAAAAFn5b84=")</f>
        <v>#REF!</v>
      </c>
      <c r="GZ128" s="34" t="e">
        <f>AND(#REF!,"AAAAAFn5b88=")</f>
        <v>#REF!</v>
      </c>
      <c r="HA128" s="34" t="e">
        <f>AND(#REF!,"AAAAAFn5b9A=")</f>
        <v>#REF!</v>
      </c>
      <c r="HB128" s="34" t="e">
        <f>AND(#REF!,"AAAAAFn5b9E=")</f>
        <v>#REF!</v>
      </c>
      <c r="HC128" s="34" t="e">
        <f>AND(#REF!,"AAAAAFn5b9I=")</f>
        <v>#REF!</v>
      </c>
      <c r="HD128" s="34" t="e">
        <f>AND(#REF!,"AAAAAFn5b9M=")</f>
        <v>#REF!</v>
      </c>
      <c r="HE128" s="34" t="e">
        <f>AND(#REF!,"AAAAAFn5b9Q=")</f>
        <v>#REF!</v>
      </c>
      <c r="HF128" s="34" t="e">
        <f>AND(#REF!,"AAAAAFn5b9U=")</f>
        <v>#REF!</v>
      </c>
      <c r="HG128" s="34" t="e">
        <f>AND(#REF!,"AAAAAFn5b9Y=")</f>
        <v>#REF!</v>
      </c>
      <c r="HH128" s="34" t="e">
        <f>AND(#REF!,"AAAAAFn5b9c=")</f>
        <v>#REF!</v>
      </c>
      <c r="HI128" s="34" t="e">
        <f>AND(#REF!,"AAAAAFn5b9g=")</f>
        <v>#REF!</v>
      </c>
      <c r="HJ128" s="34" t="e">
        <f>AND(#REF!,"AAAAAFn5b9k=")</f>
        <v>#REF!</v>
      </c>
      <c r="HK128" s="34" t="e">
        <f>AND(#REF!,"AAAAAFn5b9o=")</f>
        <v>#REF!</v>
      </c>
      <c r="HL128" s="34" t="e">
        <f>AND(#REF!,"AAAAAFn5b9s=")</f>
        <v>#REF!</v>
      </c>
      <c r="HM128" s="34" t="e">
        <f>AND(#REF!,"AAAAAFn5b9w=")</f>
        <v>#REF!</v>
      </c>
      <c r="HN128" s="34" t="e">
        <f>AND(#REF!,"AAAAAFn5b90=")</f>
        <v>#REF!</v>
      </c>
      <c r="HO128" s="34" t="e">
        <f>AND(#REF!,"AAAAAFn5b94=")</f>
        <v>#REF!</v>
      </c>
      <c r="HP128" s="34" t="e">
        <f>AND(#REF!,"AAAAAFn5b98=")</f>
        <v>#REF!</v>
      </c>
      <c r="HQ128" s="34" t="e">
        <f>AND(#REF!,"AAAAAFn5b+A=")</f>
        <v>#REF!</v>
      </c>
      <c r="HR128" s="34" t="e">
        <f>AND(#REF!,"AAAAAFn5b+E=")</f>
        <v>#REF!</v>
      </c>
      <c r="HS128" s="34" t="e">
        <f>AND(#REF!,"AAAAAFn5b+I=")</f>
        <v>#REF!</v>
      </c>
      <c r="HT128" s="34" t="e">
        <f>AND(#REF!,"AAAAAFn5b+M=")</f>
        <v>#REF!</v>
      </c>
      <c r="HU128" s="34" t="e">
        <f>AND(#REF!,"AAAAAFn5b+Q=")</f>
        <v>#REF!</v>
      </c>
      <c r="HV128" s="34" t="e">
        <f>AND(#REF!,"AAAAAFn5b+U=")</f>
        <v>#REF!</v>
      </c>
      <c r="HW128" s="34" t="e">
        <f>AND(#REF!,"AAAAAFn5b+Y=")</f>
        <v>#REF!</v>
      </c>
      <c r="HX128" s="34" t="e">
        <f>IF(#REF!,"AAAAAFn5b+c=",0)</f>
        <v>#REF!</v>
      </c>
      <c r="HY128" s="34" t="e">
        <f>AND(#REF!,"AAAAAFn5b+g=")</f>
        <v>#REF!</v>
      </c>
      <c r="HZ128" s="34" t="e">
        <f>AND(#REF!,"AAAAAFn5b+k=")</f>
        <v>#REF!</v>
      </c>
      <c r="IA128" s="34" t="e">
        <f>AND(#REF!,"AAAAAFn5b+o=")</f>
        <v>#REF!</v>
      </c>
      <c r="IB128" s="34" t="e">
        <f>AND(#REF!,"AAAAAFn5b+s=")</f>
        <v>#REF!</v>
      </c>
      <c r="IC128" s="34" t="e">
        <f>AND(#REF!,"AAAAAFn5b+w=")</f>
        <v>#REF!</v>
      </c>
      <c r="ID128" s="34" t="e">
        <f>AND(#REF!,"AAAAAFn5b+0=")</f>
        <v>#REF!</v>
      </c>
      <c r="IE128" s="34" t="e">
        <f>AND(#REF!,"AAAAAFn5b+4=")</f>
        <v>#REF!</v>
      </c>
      <c r="IF128" s="34" t="e">
        <f>AND(#REF!,"AAAAAFn5b+8=")</f>
        <v>#REF!</v>
      </c>
      <c r="IG128" s="34" t="e">
        <f>AND(#REF!,"AAAAAFn5b/A=")</f>
        <v>#REF!</v>
      </c>
      <c r="IH128" s="34" t="e">
        <f>AND(#REF!,"AAAAAFn5b/E=")</f>
        <v>#REF!</v>
      </c>
      <c r="II128" s="34" t="e">
        <f>AND(#REF!,"AAAAAFn5b/I=")</f>
        <v>#REF!</v>
      </c>
      <c r="IJ128" s="34" t="e">
        <f>AND(#REF!,"AAAAAFn5b/M=")</f>
        <v>#REF!</v>
      </c>
      <c r="IK128" s="34" t="e">
        <f>AND(#REF!,"AAAAAFn5b/Q=")</f>
        <v>#REF!</v>
      </c>
      <c r="IL128" s="34" t="e">
        <f>AND(#REF!,"AAAAAFn5b/U=")</f>
        <v>#REF!</v>
      </c>
      <c r="IM128" s="34" t="e">
        <f>AND(#REF!,"AAAAAFn5b/Y=")</f>
        <v>#REF!</v>
      </c>
      <c r="IN128" s="34" t="e">
        <f>AND(#REF!,"AAAAAFn5b/c=")</f>
        <v>#REF!</v>
      </c>
      <c r="IO128" s="34" t="e">
        <f>AND(#REF!,"AAAAAFn5b/g=")</f>
        <v>#REF!</v>
      </c>
      <c r="IP128" s="34" t="e">
        <f>AND(#REF!,"AAAAAFn5b/k=")</f>
        <v>#REF!</v>
      </c>
      <c r="IQ128" s="34" t="e">
        <f>AND(#REF!,"AAAAAFn5b/o=")</f>
        <v>#REF!</v>
      </c>
      <c r="IR128" s="34" t="e">
        <f>AND(#REF!,"AAAAAFn5b/s=")</f>
        <v>#REF!</v>
      </c>
      <c r="IS128" s="34" t="e">
        <f>AND(#REF!,"AAAAAFn5b/w=")</f>
        <v>#REF!</v>
      </c>
      <c r="IT128" s="34" t="e">
        <f>AND(#REF!,"AAAAAFn5b/0=")</f>
        <v>#REF!</v>
      </c>
      <c r="IU128" s="34" t="e">
        <f>AND(#REF!,"AAAAAFn5b/4=")</f>
        <v>#REF!</v>
      </c>
      <c r="IV128" s="34" t="e">
        <f>AND(#REF!,"AAAAAFn5b/8=")</f>
        <v>#REF!</v>
      </c>
    </row>
    <row r="129" spans="1:256" ht="12.75" customHeight="1" x14ac:dyDescent="0.2">
      <c r="A129" s="34" t="e">
        <f>AND(#REF!,"AAAAAB/85wA=")</f>
        <v>#REF!</v>
      </c>
      <c r="B129" s="34" t="e">
        <f>AND(#REF!,"AAAAAB/85wE=")</f>
        <v>#REF!</v>
      </c>
      <c r="C129" s="34" t="e">
        <f>AND(#REF!,"AAAAAB/85wI=")</f>
        <v>#REF!</v>
      </c>
      <c r="D129" s="34" t="e">
        <f>AND(#REF!,"AAAAAB/85wM=")</f>
        <v>#REF!</v>
      </c>
      <c r="E129" s="34" t="e">
        <f>AND(#REF!,"AAAAAB/85wQ=")</f>
        <v>#REF!</v>
      </c>
      <c r="F129" s="34" t="e">
        <f>AND(#REF!,"AAAAAB/85wU=")</f>
        <v>#REF!</v>
      </c>
      <c r="G129" s="34" t="e">
        <f>AND(#REF!,"AAAAAB/85wY=")</f>
        <v>#REF!</v>
      </c>
      <c r="H129" s="34" t="e">
        <f>AND(#REF!,"AAAAAB/85wc=")</f>
        <v>#REF!</v>
      </c>
      <c r="I129" s="34" t="e">
        <f>AND(#REF!,"AAAAAB/85wg=")</f>
        <v>#REF!</v>
      </c>
      <c r="J129" s="34" t="e">
        <f>AND(#REF!,"AAAAAB/85wk=")</f>
        <v>#REF!</v>
      </c>
      <c r="K129" s="34" t="e">
        <f>AND(#REF!,"AAAAAB/85wo=")</f>
        <v>#REF!</v>
      </c>
      <c r="L129" s="34" t="e">
        <f>AND(#REF!,"AAAAAB/85ws=")</f>
        <v>#REF!</v>
      </c>
      <c r="M129" s="34" t="e">
        <f>AND(#REF!,"AAAAAB/85ww=")</f>
        <v>#REF!</v>
      </c>
      <c r="N129" s="34" t="e">
        <f>AND(#REF!,"AAAAAB/85w0=")</f>
        <v>#REF!</v>
      </c>
      <c r="O129" s="34" t="e">
        <f>AND(#REF!,"AAAAAB/85w4=")</f>
        <v>#REF!</v>
      </c>
      <c r="P129" s="34" t="e">
        <f>AND(#REF!,"AAAAAB/85w8=")</f>
        <v>#REF!</v>
      </c>
      <c r="Q129" s="34" t="e">
        <f>AND(#REF!,"AAAAAB/85xA=")</f>
        <v>#REF!</v>
      </c>
      <c r="R129" s="34" t="e">
        <f>AND(#REF!,"AAAAAB/85xE=")</f>
        <v>#REF!</v>
      </c>
      <c r="S129" s="34" t="e">
        <f>IF(#REF!,"AAAAAB/85xI=",0)</f>
        <v>#REF!</v>
      </c>
      <c r="T129" s="34" t="e">
        <f>AND(#REF!,"AAAAAB/85xM=")</f>
        <v>#REF!</v>
      </c>
      <c r="U129" s="34" t="e">
        <f>AND(#REF!,"AAAAAB/85xQ=")</f>
        <v>#REF!</v>
      </c>
      <c r="V129" s="34" t="e">
        <f>AND(#REF!,"AAAAAB/85xU=")</f>
        <v>#REF!</v>
      </c>
      <c r="W129" s="34" t="e">
        <f>AND(#REF!,"AAAAAB/85xY=")</f>
        <v>#REF!</v>
      </c>
      <c r="X129" s="34" t="e">
        <f>AND(#REF!,"AAAAAB/85xc=")</f>
        <v>#REF!</v>
      </c>
      <c r="Y129" s="34" t="e">
        <f>AND(#REF!,"AAAAAB/85xg=")</f>
        <v>#REF!</v>
      </c>
      <c r="Z129" s="34" t="e">
        <f>AND(#REF!,"AAAAAB/85xk=")</f>
        <v>#REF!</v>
      </c>
      <c r="AA129" s="34" t="e">
        <f>AND(#REF!,"AAAAAB/85xo=")</f>
        <v>#REF!</v>
      </c>
      <c r="AB129" s="34" t="e">
        <f>AND(#REF!,"AAAAAB/85xs=")</f>
        <v>#REF!</v>
      </c>
      <c r="AC129" s="34" t="e">
        <f>AND(#REF!,"AAAAAB/85xw=")</f>
        <v>#REF!</v>
      </c>
      <c r="AD129" s="34" t="e">
        <f>AND(#REF!,"AAAAAB/85x0=")</f>
        <v>#REF!</v>
      </c>
      <c r="AE129" s="34" t="e">
        <f>AND(#REF!,"AAAAAB/85x4=")</f>
        <v>#REF!</v>
      </c>
      <c r="AF129" s="34" t="e">
        <f>AND(#REF!,"AAAAAB/85x8=")</f>
        <v>#REF!</v>
      </c>
      <c r="AG129" s="34" t="e">
        <f>AND(#REF!,"AAAAAB/85yA=")</f>
        <v>#REF!</v>
      </c>
      <c r="AH129" s="34" t="e">
        <f>AND(#REF!,"AAAAAB/85yE=")</f>
        <v>#REF!</v>
      </c>
      <c r="AI129" s="34" t="e">
        <f>AND(#REF!,"AAAAAB/85yI=")</f>
        <v>#REF!</v>
      </c>
      <c r="AJ129" s="34" t="e">
        <f>AND(#REF!,"AAAAAB/85yM=")</f>
        <v>#REF!</v>
      </c>
      <c r="AK129" s="34" t="e">
        <f>AND(#REF!,"AAAAAB/85yQ=")</f>
        <v>#REF!</v>
      </c>
      <c r="AL129" s="34" t="e">
        <f>AND(#REF!,"AAAAAB/85yU=")</f>
        <v>#REF!</v>
      </c>
      <c r="AM129" s="34" t="e">
        <f>AND(#REF!,"AAAAAB/85yY=")</f>
        <v>#REF!</v>
      </c>
      <c r="AN129" s="34" t="e">
        <f>AND(#REF!,"AAAAAB/85yc=")</f>
        <v>#REF!</v>
      </c>
      <c r="AO129" s="34" t="e">
        <f>AND(#REF!,"AAAAAB/85yg=")</f>
        <v>#REF!</v>
      </c>
      <c r="AP129" s="34" t="e">
        <f>AND(#REF!,"AAAAAB/85yk=")</f>
        <v>#REF!</v>
      </c>
      <c r="AQ129" s="34" t="e">
        <f>AND(#REF!,"AAAAAB/85yo=")</f>
        <v>#REF!</v>
      </c>
      <c r="AR129" s="34" t="e">
        <f>AND(#REF!,"AAAAAB/85ys=")</f>
        <v>#REF!</v>
      </c>
      <c r="AS129" s="34" t="e">
        <f>AND(#REF!,"AAAAAB/85yw=")</f>
        <v>#REF!</v>
      </c>
      <c r="AT129" s="34" t="e">
        <f>AND(#REF!,"AAAAAB/85y0=")</f>
        <v>#REF!</v>
      </c>
      <c r="AU129" s="34" t="e">
        <f>AND(#REF!,"AAAAAB/85y4=")</f>
        <v>#REF!</v>
      </c>
      <c r="AV129" s="34" t="e">
        <f>AND(#REF!,"AAAAAB/85y8=")</f>
        <v>#REF!</v>
      </c>
      <c r="AW129" s="34" t="e">
        <f>AND(#REF!,"AAAAAB/85zA=")</f>
        <v>#REF!</v>
      </c>
      <c r="AX129" s="34" t="e">
        <f>AND(#REF!,"AAAAAB/85zE=")</f>
        <v>#REF!</v>
      </c>
      <c r="AY129" s="34" t="e">
        <f>AND(#REF!,"AAAAAB/85zI=")</f>
        <v>#REF!</v>
      </c>
      <c r="AZ129" s="34" t="e">
        <f>AND(#REF!,"AAAAAB/85zM=")</f>
        <v>#REF!</v>
      </c>
      <c r="BA129" s="34" t="e">
        <f>AND(#REF!,"AAAAAB/85zQ=")</f>
        <v>#REF!</v>
      </c>
      <c r="BB129" s="34" t="e">
        <f>AND(#REF!,"AAAAAB/85zU=")</f>
        <v>#REF!</v>
      </c>
      <c r="BC129" s="34" t="e">
        <f>AND(#REF!,"AAAAAB/85zY=")</f>
        <v>#REF!</v>
      </c>
      <c r="BD129" s="34" t="e">
        <f>AND(#REF!,"AAAAAB/85zc=")</f>
        <v>#REF!</v>
      </c>
      <c r="BE129" s="34" t="e">
        <f>AND(#REF!,"AAAAAB/85zg=")</f>
        <v>#REF!</v>
      </c>
      <c r="BF129" s="34" t="e">
        <f>AND(#REF!,"AAAAAB/85zk=")</f>
        <v>#REF!</v>
      </c>
      <c r="BG129" s="34" t="e">
        <f>AND(#REF!,"AAAAAB/85zo=")</f>
        <v>#REF!</v>
      </c>
      <c r="BH129" s="34" t="e">
        <f>AND(#REF!,"AAAAAB/85zs=")</f>
        <v>#REF!</v>
      </c>
      <c r="BI129" s="34" t="e">
        <f>AND(#REF!,"AAAAAB/85zw=")</f>
        <v>#REF!</v>
      </c>
      <c r="BJ129" s="34" t="e">
        <f>IF(#REF!,"AAAAAB/85z0=",0)</f>
        <v>#REF!</v>
      </c>
      <c r="BK129" s="34" t="e">
        <f>AND(#REF!,"AAAAAB/85z4=")</f>
        <v>#REF!</v>
      </c>
      <c r="BL129" s="34" t="e">
        <f>AND(#REF!,"AAAAAB/85z8=")</f>
        <v>#REF!</v>
      </c>
      <c r="BM129" s="34" t="e">
        <f>AND(#REF!,"AAAAAB/850A=")</f>
        <v>#REF!</v>
      </c>
      <c r="BN129" s="34" t="e">
        <f>AND(#REF!,"AAAAAB/850E=")</f>
        <v>#REF!</v>
      </c>
      <c r="BO129" s="34" t="e">
        <f>AND(#REF!,"AAAAAB/850I=")</f>
        <v>#REF!</v>
      </c>
      <c r="BP129" s="34" t="e">
        <f>AND(#REF!,"AAAAAB/850M=")</f>
        <v>#REF!</v>
      </c>
      <c r="BQ129" s="34" t="e">
        <f>AND(#REF!,"AAAAAB/850Q=")</f>
        <v>#REF!</v>
      </c>
      <c r="BR129" s="34" t="e">
        <f>AND(#REF!,"AAAAAB/850U=")</f>
        <v>#REF!</v>
      </c>
      <c r="BS129" s="34" t="e">
        <f>AND(#REF!,"AAAAAB/850Y=")</f>
        <v>#REF!</v>
      </c>
      <c r="BT129" s="34" t="e">
        <f>AND(#REF!,"AAAAAB/850c=")</f>
        <v>#REF!</v>
      </c>
      <c r="BU129" s="34" t="e">
        <f>AND(#REF!,"AAAAAB/850g=")</f>
        <v>#REF!</v>
      </c>
      <c r="BV129" s="34" t="e">
        <f>AND(#REF!,"AAAAAB/850k=")</f>
        <v>#REF!</v>
      </c>
      <c r="BW129" s="34" t="e">
        <f>AND(#REF!,"AAAAAB/850o=")</f>
        <v>#REF!</v>
      </c>
      <c r="BX129" s="34" t="e">
        <f>AND(#REF!,"AAAAAB/850s=")</f>
        <v>#REF!</v>
      </c>
      <c r="BY129" s="34" t="e">
        <f>AND(#REF!,"AAAAAB/850w=")</f>
        <v>#REF!</v>
      </c>
      <c r="BZ129" s="34" t="e">
        <f>AND(#REF!,"AAAAAB/8500=")</f>
        <v>#REF!</v>
      </c>
      <c r="CA129" s="34" t="e">
        <f>AND(#REF!,"AAAAAB/8504=")</f>
        <v>#REF!</v>
      </c>
      <c r="CB129" s="34" t="e">
        <f>AND(#REF!,"AAAAAB/8508=")</f>
        <v>#REF!</v>
      </c>
      <c r="CC129" s="34" t="e">
        <f>AND(#REF!,"AAAAAB/851A=")</f>
        <v>#REF!</v>
      </c>
      <c r="CD129" s="34" t="e">
        <f>AND(#REF!,"AAAAAB/851E=")</f>
        <v>#REF!</v>
      </c>
      <c r="CE129" s="34" t="e">
        <f>AND(#REF!,"AAAAAB/851I=")</f>
        <v>#REF!</v>
      </c>
      <c r="CF129" s="34" t="e">
        <f>AND(#REF!,"AAAAAB/851M=")</f>
        <v>#REF!</v>
      </c>
      <c r="CG129" s="34" t="e">
        <f>AND(#REF!,"AAAAAB/851Q=")</f>
        <v>#REF!</v>
      </c>
      <c r="CH129" s="34" t="e">
        <f>AND(#REF!,"AAAAAB/851U=")</f>
        <v>#REF!</v>
      </c>
      <c r="CI129" s="34" t="e">
        <f>AND(#REF!,"AAAAAB/851Y=")</f>
        <v>#REF!</v>
      </c>
      <c r="CJ129" s="34" t="e">
        <f>AND(#REF!,"AAAAAB/851c=")</f>
        <v>#REF!</v>
      </c>
      <c r="CK129" s="34" t="e">
        <f>AND(#REF!,"AAAAAB/851g=")</f>
        <v>#REF!</v>
      </c>
      <c r="CL129" s="34" t="e">
        <f>AND(#REF!,"AAAAAB/851k=")</f>
        <v>#REF!</v>
      </c>
      <c r="CM129" s="34" t="e">
        <f>AND(#REF!,"AAAAAB/851o=")</f>
        <v>#REF!</v>
      </c>
      <c r="CN129" s="34" t="e">
        <f>AND(#REF!,"AAAAAB/851s=")</f>
        <v>#REF!</v>
      </c>
      <c r="CO129" s="34" t="e">
        <f>AND(#REF!,"AAAAAB/851w=")</f>
        <v>#REF!</v>
      </c>
      <c r="CP129" s="34" t="e">
        <f>AND(#REF!,"AAAAAB/8510=")</f>
        <v>#REF!</v>
      </c>
      <c r="CQ129" s="34" t="e">
        <f>AND(#REF!,"AAAAAB/8514=")</f>
        <v>#REF!</v>
      </c>
      <c r="CR129" s="34" t="e">
        <f>AND(#REF!,"AAAAAB/8518=")</f>
        <v>#REF!</v>
      </c>
      <c r="CS129" s="34" t="e">
        <f>AND(#REF!,"AAAAAB/852A=")</f>
        <v>#REF!</v>
      </c>
      <c r="CT129" s="34" t="e">
        <f>AND(#REF!,"AAAAAB/852E=")</f>
        <v>#REF!</v>
      </c>
      <c r="CU129" s="34" t="e">
        <f>AND(#REF!,"AAAAAB/852I=")</f>
        <v>#REF!</v>
      </c>
      <c r="CV129" s="34" t="e">
        <f>AND(#REF!,"AAAAAB/852M=")</f>
        <v>#REF!</v>
      </c>
      <c r="CW129" s="34" t="e">
        <f>AND(#REF!,"AAAAAB/852Q=")</f>
        <v>#REF!</v>
      </c>
      <c r="CX129" s="34" t="e">
        <f>AND(#REF!,"AAAAAB/852U=")</f>
        <v>#REF!</v>
      </c>
      <c r="CY129" s="34" t="e">
        <f>AND(#REF!,"AAAAAB/852Y=")</f>
        <v>#REF!</v>
      </c>
      <c r="CZ129" s="34" t="e">
        <f>AND(#REF!,"AAAAAB/852c=")</f>
        <v>#REF!</v>
      </c>
      <c r="DA129" s="34" t="e">
        <f>IF(#REF!,"AAAAAB/852g=",0)</f>
        <v>#REF!</v>
      </c>
      <c r="DB129" s="34" t="e">
        <f>AND(#REF!,"AAAAAB/852k=")</f>
        <v>#REF!</v>
      </c>
      <c r="DC129" s="34" t="e">
        <f>AND(#REF!,"AAAAAB/852o=")</f>
        <v>#REF!</v>
      </c>
      <c r="DD129" s="34" t="e">
        <f>AND(#REF!,"AAAAAB/852s=")</f>
        <v>#REF!</v>
      </c>
      <c r="DE129" s="34" t="e">
        <f>AND(#REF!,"AAAAAB/852w=")</f>
        <v>#REF!</v>
      </c>
      <c r="DF129" s="34" t="e">
        <f>AND(#REF!,"AAAAAB/8520=")</f>
        <v>#REF!</v>
      </c>
      <c r="DG129" s="34" t="e">
        <f>AND(#REF!,"AAAAAB/8524=")</f>
        <v>#REF!</v>
      </c>
      <c r="DH129" s="34" t="e">
        <f>AND(#REF!,"AAAAAB/8528=")</f>
        <v>#REF!</v>
      </c>
      <c r="DI129" s="34" t="e">
        <f>AND(#REF!,"AAAAAB/853A=")</f>
        <v>#REF!</v>
      </c>
      <c r="DJ129" s="34" t="e">
        <f>AND(#REF!,"AAAAAB/853E=")</f>
        <v>#REF!</v>
      </c>
      <c r="DK129" s="34" t="e">
        <f>AND(#REF!,"AAAAAB/853I=")</f>
        <v>#REF!</v>
      </c>
      <c r="DL129" s="34" t="e">
        <f>AND(#REF!,"AAAAAB/853M=")</f>
        <v>#REF!</v>
      </c>
      <c r="DM129" s="34" t="e">
        <f>AND(#REF!,"AAAAAB/853Q=")</f>
        <v>#REF!</v>
      </c>
      <c r="DN129" s="34" t="e">
        <f>AND(#REF!,"AAAAAB/853U=")</f>
        <v>#REF!</v>
      </c>
      <c r="DO129" s="34" t="e">
        <f>AND(#REF!,"AAAAAB/853Y=")</f>
        <v>#REF!</v>
      </c>
      <c r="DP129" s="34" t="e">
        <f>AND(#REF!,"AAAAAB/853c=")</f>
        <v>#REF!</v>
      </c>
      <c r="DQ129" s="34" t="e">
        <f>AND(#REF!,"AAAAAB/853g=")</f>
        <v>#REF!</v>
      </c>
      <c r="DR129" s="34" t="e">
        <f>AND(#REF!,"AAAAAB/853k=")</f>
        <v>#REF!</v>
      </c>
      <c r="DS129" s="34" t="e">
        <f>AND(#REF!,"AAAAAB/853o=")</f>
        <v>#REF!</v>
      </c>
      <c r="DT129" s="34" t="e">
        <f>AND(#REF!,"AAAAAB/853s=")</f>
        <v>#REF!</v>
      </c>
      <c r="DU129" s="34" t="e">
        <f>AND(#REF!,"AAAAAB/853w=")</f>
        <v>#REF!</v>
      </c>
      <c r="DV129" s="34" t="e">
        <f>AND(#REF!,"AAAAAB/8530=")</f>
        <v>#REF!</v>
      </c>
      <c r="DW129" s="34" t="e">
        <f>AND(#REF!,"AAAAAB/8534=")</f>
        <v>#REF!</v>
      </c>
      <c r="DX129" s="34" t="e">
        <f>AND(#REF!,"AAAAAB/8538=")</f>
        <v>#REF!</v>
      </c>
      <c r="DY129" s="34" t="e">
        <f>AND(#REF!,"AAAAAB/854A=")</f>
        <v>#REF!</v>
      </c>
      <c r="DZ129" s="34" t="e">
        <f>AND(#REF!,"AAAAAB/854E=")</f>
        <v>#REF!</v>
      </c>
      <c r="EA129" s="34" t="e">
        <f>AND(#REF!,"AAAAAB/854I=")</f>
        <v>#REF!</v>
      </c>
      <c r="EB129" s="34" t="e">
        <f>AND(#REF!,"AAAAAB/854M=")</f>
        <v>#REF!</v>
      </c>
      <c r="EC129" s="34" t="e">
        <f>AND(#REF!,"AAAAAB/854Q=")</f>
        <v>#REF!</v>
      </c>
      <c r="ED129" s="34" t="e">
        <f>AND(#REF!,"AAAAAB/854U=")</f>
        <v>#REF!</v>
      </c>
      <c r="EE129" s="34" t="e">
        <f>AND(#REF!,"AAAAAB/854Y=")</f>
        <v>#REF!</v>
      </c>
      <c r="EF129" s="34" t="e">
        <f>AND(#REF!,"AAAAAB/854c=")</f>
        <v>#REF!</v>
      </c>
      <c r="EG129" s="34" t="e">
        <f>AND(#REF!,"AAAAAB/854g=")</f>
        <v>#REF!</v>
      </c>
      <c r="EH129" s="34" t="e">
        <f>AND(#REF!,"AAAAAB/854k=")</f>
        <v>#REF!</v>
      </c>
      <c r="EI129" s="34" t="e">
        <f>AND(#REF!,"AAAAAB/854o=")</f>
        <v>#REF!</v>
      </c>
      <c r="EJ129" s="34" t="e">
        <f>AND(#REF!,"AAAAAB/854s=")</f>
        <v>#REF!</v>
      </c>
      <c r="EK129" s="34" t="e">
        <f>AND(#REF!,"AAAAAB/854w=")</f>
        <v>#REF!</v>
      </c>
      <c r="EL129" s="34" t="e">
        <f>AND(#REF!,"AAAAAB/8540=")</f>
        <v>#REF!</v>
      </c>
      <c r="EM129" s="34" t="e">
        <f>AND(#REF!,"AAAAAB/8544=")</f>
        <v>#REF!</v>
      </c>
      <c r="EN129" s="34" t="e">
        <f>AND(#REF!,"AAAAAB/8548=")</f>
        <v>#REF!</v>
      </c>
      <c r="EO129" s="34" t="e">
        <f>AND(#REF!,"AAAAAB/855A=")</f>
        <v>#REF!</v>
      </c>
      <c r="EP129" s="34" t="e">
        <f>AND(#REF!,"AAAAAB/855E=")</f>
        <v>#REF!</v>
      </c>
      <c r="EQ129" s="34" t="e">
        <f>AND(#REF!,"AAAAAB/855I=")</f>
        <v>#REF!</v>
      </c>
      <c r="ER129" s="34" t="e">
        <f>IF(#REF!,"AAAAAB/855M=",0)</f>
        <v>#REF!</v>
      </c>
      <c r="ES129" s="34" t="e">
        <f>AND(#REF!,"AAAAAB/855Q=")</f>
        <v>#REF!</v>
      </c>
      <c r="ET129" s="34" t="e">
        <f>AND(#REF!,"AAAAAB/855U=")</f>
        <v>#REF!</v>
      </c>
      <c r="EU129" s="34" t="e">
        <f>AND(#REF!,"AAAAAB/855Y=")</f>
        <v>#REF!</v>
      </c>
      <c r="EV129" s="34" t="e">
        <f>AND(#REF!,"AAAAAB/855c=")</f>
        <v>#REF!</v>
      </c>
      <c r="EW129" s="34" t="e">
        <f>AND(#REF!,"AAAAAB/855g=")</f>
        <v>#REF!</v>
      </c>
      <c r="EX129" s="34" t="e">
        <f>AND(#REF!,"AAAAAB/855k=")</f>
        <v>#REF!</v>
      </c>
      <c r="EY129" s="34" t="e">
        <f>AND(#REF!,"AAAAAB/855o=")</f>
        <v>#REF!</v>
      </c>
      <c r="EZ129" s="34" t="e">
        <f>AND(#REF!,"AAAAAB/855s=")</f>
        <v>#REF!</v>
      </c>
      <c r="FA129" s="34" t="e">
        <f>AND(#REF!,"AAAAAB/855w=")</f>
        <v>#REF!</v>
      </c>
      <c r="FB129" s="34" t="e">
        <f>AND(#REF!,"AAAAAB/8550=")</f>
        <v>#REF!</v>
      </c>
      <c r="FC129" s="34" t="e">
        <f>AND(#REF!,"AAAAAB/8554=")</f>
        <v>#REF!</v>
      </c>
      <c r="FD129" s="34" t="e">
        <f>AND(#REF!,"AAAAAB/8558=")</f>
        <v>#REF!</v>
      </c>
      <c r="FE129" s="34" t="e">
        <f>AND(#REF!,"AAAAAB/856A=")</f>
        <v>#REF!</v>
      </c>
      <c r="FF129" s="34" t="e">
        <f>AND(#REF!,"AAAAAB/856E=")</f>
        <v>#REF!</v>
      </c>
      <c r="FG129" s="34" t="e">
        <f>AND(#REF!,"AAAAAB/856I=")</f>
        <v>#REF!</v>
      </c>
      <c r="FH129" s="34" t="e">
        <f>AND(#REF!,"AAAAAB/856M=")</f>
        <v>#REF!</v>
      </c>
      <c r="FI129" s="34" t="e">
        <f>AND(#REF!,"AAAAAB/856Q=")</f>
        <v>#REF!</v>
      </c>
      <c r="FJ129" s="34" t="e">
        <f>AND(#REF!,"AAAAAB/856U=")</f>
        <v>#REF!</v>
      </c>
      <c r="FK129" s="34" t="e">
        <f>AND(#REF!,"AAAAAB/856Y=")</f>
        <v>#REF!</v>
      </c>
      <c r="FL129" s="34" t="e">
        <f>AND(#REF!,"AAAAAB/856c=")</f>
        <v>#REF!</v>
      </c>
      <c r="FM129" s="34" t="e">
        <f>AND(#REF!,"AAAAAB/856g=")</f>
        <v>#REF!</v>
      </c>
      <c r="FN129" s="34" t="e">
        <f>AND(#REF!,"AAAAAB/856k=")</f>
        <v>#REF!</v>
      </c>
      <c r="FO129" s="34" t="e">
        <f>AND(#REF!,"AAAAAB/856o=")</f>
        <v>#REF!</v>
      </c>
      <c r="FP129" s="34" t="e">
        <f>AND(#REF!,"AAAAAB/856s=")</f>
        <v>#REF!</v>
      </c>
      <c r="FQ129" s="34" t="e">
        <f>AND(#REF!,"AAAAAB/856w=")</f>
        <v>#REF!</v>
      </c>
      <c r="FR129" s="34" t="e">
        <f>AND(#REF!,"AAAAAB/8560=")</f>
        <v>#REF!</v>
      </c>
      <c r="FS129" s="34" t="e">
        <f>AND(#REF!,"AAAAAB/8564=")</f>
        <v>#REF!</v>
      </c>
      <c r="FT129" s="34" t="e">
        <f>AND(#REF!,"AAAAAB/8568=")</f>
        <v>#REF!</v>
      </c>
      <c r="FU129" s="34" t="e">
        <f>AND(#REF!,"AAAAAB/857A=")</f>
        <v>#REF!</v>
      </c>
      <c r="FV129" s="34" t="e">
        <f>AND(#REF!,"AAAAAB/857E=")</f>
        <v>#REF!</v>
      </c>
      <c r="FW129" s="34" t="e">
        <f>AND(#REF!,"AAAAAB/857I=")</f>
        <v>#REF!</v>
      </c>
      <c r="FX129" s="34" t="e">
        <f>AND(#REF!,"AAAAAB/857M=")</f>
        <v>#REF!</v>
      </c>
      <c r="FY129" s="34" t="e">
        <f>AND(#REF!,"AAAAAB/857Q=")</f>
        <v>#REF!</v>
      </c>
      <c r="FZ129" s="34" t="e">
        <f>AND(#REF!,"AAAAAB/857U=")</f>
        <v>#REF!</v>
      </c>
      <c r="GA129" s="34" t="e">
        <f>AND(#REF!,"AAAAAB/857Y=")</f>
        <v>#REF!</v>
      </c>
      <c r="GB129" s="34" t="e">
        <f>AND(#REF!,"AAAAAB/857c=")</f>
        <v>#REF!</v>
      </c>
      <c r="GC129" s="34" t="e">
        <f>AND(#REF!,"AAAAAB/857g=")</f>
        <v>#REF!</v>
      </c>
      <c r="GD129" s="34" t="e">
        <f>AND(#REF!,"AAAAAB/857k=")</f>
        <v>#REF!</v>
      </c>
      <c r="GE129" s="34" t="e">
        <f>AND(#REF!,"AAAAAB/857o=")</f>
        <v>#REF!</v>
      </c>
      <c r="GF129" s="34" t="e">
        <f>AND(#REF!,"AAAAAB/857s=")</f>
        <v>#REF!</v>
      </c>
      <c r="GG129" s="34" t="e">
        <f>AND(#REF!,"AAAAAB/857w=")</f>
        <v>#REF!</v>
      </c>
      <c r="GH129" s="34" t="e">
        <f>AND(#REF!,"AAAAAB/8570=")</f>
        <v>#REF!</v>
      </c>
      <c r="GI129" s="34" t="e">
        <f>IF(#REF!,"AAAAAB/8574=",0)</f>
        <v>#REF!</v>
      </c>
      <c r="GJ129" s="34" t="e">
        <f>AND(#REF!,"AAAAAB/8578=")</f>
        <v>#REF!</v>
      </c>
      <c r="GK129" s="34" t="e">
        <f>AND(#REF!,"AAAAAB/858A=")</f>
        <v>#REF!</v>
      </c>
      <c r="GL129" s="34" t="e">
        <f>AND(#REF!,"AAAAAB/858E=")</f>
        <v>#REF!</v>
      </c>
      <c r="GM129" s="34" t="e">
        <f>AND(#REF!,"AAAAAB/858I=")</f>
        <v>#REF!</v>
      </c>
      <c r="GN129" s="34" t="e">
        <f>AND(#REF!,"AAAAAB/858M=")</f>
        <v>#REF!</v>
      </c>
      <c r="GO129" s="34" t="e">
        <f>AND(#REF!,"AAAAAB/858Q=")</f>
        <v>#REF!</v>
      </c>
      <c r="GP129" s="34" t="e">
        <f>AND(#REF!,"AAAAAB/858U=")</f>
        <v>#REF!</v>
      </c>
      <c r="GQ129" s="34" t="e">
        <f>AND(#REF!,"AAAAAB/858Y=")</f>
        <v>#REF!</v>
      </c>
      <c r="GR129" s="34" t="e">
        <f>AND(#REF!,"AAAAAB/858c=")</f>
        <v>#REF!</v>
      </c>
      <c r="GS129" s="34" t="e">
        <f>AND(#REF!,"AAAAAB/858g=")</f>
        <v>#REF!</v>
      </c>
      <c r="GT129" s="34" t="e">
        <f>AND(#REF!,"AAAAAB/858k=")</f>
        <v>#REF!</v>
      </c>
      <c r="GU129" s="34" t="e">
        <f>AND(#REF!,"AAAAAB/858o=")</f>
        <v>#REF!</v>
      </c>
      <c r="GV129" s="34" t="e">
        <f>AND(#REF!,"AAAAAB/858s=")</f>
        <v>#REF!</v>
      </c>
      <c r="GW129" s="34" t="e">
        <f>AND(#REF!,"AAAAAB/858w=")</f>
        <v>#REF!</v>
      </c>
      <c r="GX129" s="34" t="e">
        <f>AND(#REF!,"AAAAAB/8580=")</f>
        <v>#REF!</v>
      </c>
      <c r="GY129" s="34" t="e">
        <f>AND(#REF!,"AAAAAB/8584=")</f>
        <v>#REF!</v>
      </c>
      <c r="GZ129" s="34" t="e">
        <f>AND(#REF!,"AAAAAB/8588=")</f>
        <v>#REF!</v>
      </c>
      <c r="HA129" s="34" t="e">
        <f>AND(#REF!,"AAAAAB/859A=")</f>
        <v>#REF!</v>
      </c>
      <c r="HB129" s="34" t="e">
        <f>AND(#REF!,"AAAAAB/859E=")</f>
        <v>#REF!</v>
      </c>
      <c r="HC129" s="34" t="e">
        <f>AND(#REF!,"AAAAAB/859I=")</f>
        <v>#REF!</v>
      </c>
      <c r="HD129" s="34" t="e">
        <f>AND(#REF!,"AAAAAB/859M=")</f>
        <v>#REF!</v>
      </c>
      <c r="HE129" s="34" t="e">
        <f>AND(#REF!,"AAAAAB/859Q=")</f>
        <v>#REF!</v>
      </c>
      <c r="HF129" s="34" t="e">
        <f>AND(#REF!,"AAAAAB/859U=")</f>
        <v>#REF!</v>
      </c>
      <c r="HG129" s="34" t="e">
        <f>AND(#REF!,"AAAAAB/859Y=")</f>
        <v>#REF!</v>
      </c>
      <c r="HH129" s="34" t="e">
        <f>AND(#REF!,"AAAAAB/859c=")</f>
        <v>#REF!</v>
      </c>
      <c r="HI129" s="34" t="e">
        <f>AND(#REF!,"AAAAAB/859g=")</f>
        <v>#REF!</v>
      </c>
      <c r="HJ129" s="34" t="e">
        <f>AND(#REF!,"AAAAAB/859k=")</f>
        <v>#REF!</v>
      </c>
      <c r="HK129" s="34" t="e">
        <f>AND(#REF!,"AAAAAB/859o=")</f>
        <v>#REF!</v>
      </c>
      <c r="HL129" s="34" t="e">
        <f>AND(#REF!,"AAAAAB/859s=")</f>
        <v>#REF!</v>
      </c>
      <c r="HM129" s="34" t="e">
        <f>AND(#REF!,"AAAAAB/859w=")</f>
        <v>#REF!</v>
      </c>
      <c r="HN129" s="34" t="e">
        <f>AND(#REF!,"AAAAAB/8590=")</f>
        <v>#REF!</v>
      </c>
      <c r="HO129" s="34" t="e">
        <f>AND(#REF!,"AAAAAB/8594=")</f>
        <v>#REF!</v>
      </c>
      <c r="HP129" s="34" t="e">
        <f>AND(#REF!,"AAAAAB/8598=")</f>
        <v>#REF!</v>
      </c>
      <c r="HQ129" s="34" t="e">
        <f>AND(#REF!,"AAAAAB/85+A=")</f>
        <v>#REF!</v>
      </c>
      <c r="HR129" s="34" t="e">
        <f>AND(#REF!,"AAAAAB/85+E=")</f>
        <v>#REF!</v>
      </c>
      <c r="HS129" s="34" t="e">
        <f>AND(#REF!,"AAAAAB/85+I=")</f>
        <v>#REF!</v>
      </c>
      <c r="HT129" s="34" t="e">
        <f>AND(#REF!,"AAAAAB/85+M=")</f>
        <v>#REF!</v>
      </c>
      <c r="HU129" s="34" t="e">
        <f>AND(#REF!,"AAAAAB/85+Q=")</f>
        <v>#REF!</v>
      </c>
      <c r="HV129" s="34" t="e">
        <f>AND(#REF!,"AAAAAB/85+U=")</f>
        <v>#REF!</v>
      </c>
      <c r="HW129" s="34" t="e">
        <f>AND(#REF!,"AAAAAB/85+Y=")</f>
        <v>#REF!</v>
      </c>
      <c r="HX129" s="34" t="e">
        <f>AND(#REF!,"AAAAAB/85+c=")</f>
        <v>#REF!</v>
      </c>
      <c r="HY129" s="34" t="e">
        <f>AND(#REF!,"AAAAAB/85+g=")</f>
        <v>#REF!</v>
      </c>
      <c r="HZ129" s="34" t="e">
        <f>IF(#REF!,"AAAAAB/85+k=",0)</f>
        <v>#REF!</v>
      </c>
      <c r="IA129" s="34" t="e">
        <f>AND(#REF!,"AAAAAB/85+o=")</f>
        <v>#REF!</v>
      </c>
      <c r="IB129" s="34" t="e">
        <f>AND(#REF!,"AAAAAB/85+s=")</f>
        <v>#REF!</v>
      </c>
      <c r="IC129" s="34" t="e">
        <f>AND(#REF!,"AAAAAB/85+w=")</f>
        <v>#REF!</v>
      </c>
      <c r="ID129" s="34" t="e">
        <f>AND(#REF!,"AAAAAB/85+0=")</f>
        <v>#REF!</v>
      </c>
      <c r="IE129" s="34" t="e">
        <f>AND(#REF!,"AAAAAB/85+4=")</f>
        <v>#REF!</v>
      </c>
      <c r="IF129" s="34" t="e">
        <f>AND(#REF!,"AAAAAB/85+8=")</f>
        <v>#REF!</v>
      </c>
      <c r="IG129" s="34" t="e">
        <f>AND(#REF!,"AAAAAB/85/A=")</f>
        <v>#REF!</v>
      </c>
      <c r="IH129" s="34" t="e">
        <f>AND(#REF!,"AAAAAB/85/E=")</f>
        <v>#REF!</v>
      </c>
      <c r="II129" s="34" t="e">
        <f>AND(#REF!,"AAAAAB/85/I=")</f>
        <v>#REF!</v>
      </c>
      <c r="IJ129" s="34" t="e">
        <f>AND(#REF!,"AAAAAB/85/M=")</f>
        <v>#REF!</v>
      </c>
      <c r="IK129" s="34" t="e">
        <f>AND(#REF!,"AAAAAB/85/Q=")</f>
        <v>#REF!</v>
      </c>
      <c r="IL129" s="34" t="e">
        <f>AND(#REF!,"AAAAAB/85/U=")</f>
        <v>#REF!</v>
      </c>
      <c r="IM129" s="34" t="e">
        <f>AND(#REF!,"AAAAAB/85/Y=")</f>
        <v>#REF!</v>
      </c>
      <c r="IN129" s="34" t="e">
        <f>AND(#REF!,"AAAAAB/85/c=")</f>
        <v>#REF!</v>
      </c>
      <c r="IO129" s="34" t="e">
        <f>AND(#REF!,"AAAAAB/85/g=")</f>
        <v>#REF!</v>
      </c>
      <c r="IP129" s="34" t="e">
        <f>AND(#REF!,"AAAAAB/85/k=")</f>
        <v>#REF!</v>
      </c>
      <c r="IQ129" s="34" t="e">
        <f>AND(#REF!,"AAAAAB/85/o=")</f>
        <v>#REF!</v>
      </c>
      <c r="IR129" s="34" t="e">
        <f>AND(#REF!,"AAAAAB/85/s=")</f>
        <v>#REF!</v>
      </c>
      <c r="IS129" s="34" t="e">
        <f>AND(#REF!,"AAAAAB/85/w=")</f>
        <v>#REF!</v>
      </c>
      <c r="IT129" s="34" t="e">
        <f>AND(#REF!,"AAAAAB/85/0=")</f>
        <v>#REF!</v>
      </c>
      <c r="IU129" s="34" t="e">
        <f>AND(#REF!,"AAAAAB/85/4=")</f>
        <v>#REF!</v>
      </c>
      <c r="IV129" s="34" t="e">
        <f>AND(#REF!,"AAAAAB/85/8=")</f>
        <v>#REF!</v>
      </c>
    </row>
    <row r="130" spans="1:256" ht="12.75" customHeight="1" x14ac:dyDescent="0.2">
      <c r="A130" s="34" t="e">
        <f>AND(#REF!,"AAAAAHb/xgA=")</f>
        <v>#REF!</v>
      </c>
      <c r="B130" s="34" t="e">
        <f>AND(#REF!,"AAAAAHb/xgE=")</f>
        <v>#REF!</v>
      </c>
      <c r="C130" s="34" t="e">
        <f>AND(#REF!,"AAAAAHb/xgI=")</f>
        <v>#REF!</v>
      </c>
      <c r="D130" s="34" t="e">
        <f>AND(#REF!,"AAAAAHb/xgM=")</f>
        <v>#REF!</v>
      </c>
      <c r="E130" s="34" t="e">
        <f>AND(#REF!,"AAAAAHb/xgQ=")</f>
        <v>#REF!</v>
      </c>
      <c r="F130" s="34" t="e">
        <f>AND(#REF!,"AAAAAHb/xgU=")</f>
        <v>#REF!</v>
      </c>
      <c r="G130" s="34" t="e">
        <f>AND(#REF!,"AAAAAHb/xgY=")</f>
        <v>#REF!</v>
      </c>
      <c r="H130" s="34" t="e">
        <f>AND(#REF!,"AAAAAHb/xgc=")</f>
        <v>#REF!</v>
      </c>
      <c r="I130" s="34" t="e">
        <f>AND(#REF!,"AAAAAHb/xgg=")</f>
        <v>#REF!</v>
      </c>
      <c r="J130" s="34" t="e">
        <f>AND(#REF!,"AAAAAHb/xgk=")</f>
        <v>#REF!</v>
      </c>
      <c r="K130" s="34" t="e">
        <f>AND(#REF!,"AAAAAHb/xgo=")</f>
        <v>#REF!</v>
      </c>
      <c r="L130" s="34" t="e">
        <f>AND(#REF!,"AAAAAHb/xgs=")</f>
        <v>#REF!</v>
      </c>
      <c r="M130" s="34" t="e">
        <f>AND(#REF!,"AAAAAHb/xgw=")</f>
        <v>#REF!</v>
      </c>
      <c r="N130" s="34" t="e">
        <f>AND(#REF!,"AAAAAHb/xg0=")</f>
        <v>#REF!</v>
      </c>
      <c r="O130" s="34" t="e">
        <f>AND(#REF!,"AAAAAHb/xg4=")</f>
        <v>#REF!</v>
      </c>
      <c r="P130" s="34" t="e">
        <f>AND(#REF!,"AAAAAHb/xg8=")</f>
        <v>#REF!</v>
      </c>
      <c r="Q130" s="34" t="e">
        <f>AND(#REF!,"AAAAAHb/xhA=")</f>
        <v>#REF!</v>
      </c>
      <c r="R130" s="34" t="e">
        <f>AND(#REF!,"AAAAAHb/xhE=")</f>
        <v>#REF!</v>
      </c>
      <c r="S130" s="34" t="e">
        <f>AND(#REF!,"AAAAAHb/xhI=")</f>
        <v>#REF!</v>
      </c>
      <c r="T130" s="34" t="e">
        <f>AND(#REF!,"AAAAAHb/xhM=")</f>
        <v>#REF!</v>
      </c>
      <c r="U130" s="34" t="e">
        <f>IF(#REF!,"AAAAAHb/xhQ=",0)</f>
        <v>#REF!</v>
      </c>
      <c r="V130" s="34" t="e">
        <f>AND(#REF!,"AAAAAHb/xhU=")</f>
        <v>#REF!</v>
      </c>
      <c r="W130" s="34" t="e">
        <f>AND(#REF!,"AAAAAHb/xhY=")</f>
        <v>#REF!</v>
      </c>
      <c r="X130" s="34" t="e">
        <f>AND(#REF!,"AAAAAHb/xhc=")</f>
        <v>#REF!</v>
      </c>
      <c r="Y130" s="34" t="e">
        <f>AND(#REF!,"AAAAAHb/xhg=")</f>
        <v>#REF!</v>
      </c>
      <c r="Z130" s="34" t="e">
        <f>AND(#REF!,"AAAAAHb/xhk=")</f>
        <v>#REF!</v>
      </c>
      <c r="AA130" s="34" t="e">
        <f>AND(#REF!,"AAAAAHb/xho=")</f>
        <v>#REF!</v>
      </c>
      <c r="AB130" s="34" t="e">
        <f>AND(#REF!,"AAAAAHb/xhs=")</f>
        <v>#REF!</v>
      </c>
      <c r="AC130" s="34" t="e">
        <f>AND(#REF!,"AAAAAHb/xhw=")</f>
        <v>#REF!</v>
      </c>
      <c r="AD130" s="34" t="e">
        <f>AND(#REF!,"AAAAAHb/xh0=")</f>
        <v>#REF!</v>
      </c>
      <c r="AE130" s="34" t="e">
        <f>AND(#REF!,"AAAAAHb/xh4=")</f>
        <v>#REF!</v>
      </c>
      <c r="AF130" s="34" t="e">
        <f>AND(#REF!,"AAAAAHb/xh8=")</f>
        <v>#REF!</v>
      </c>
      <c r="AG130" s="34" t="e">
        <f>AND(#REF!,"AAAAAHb/xiA=")</f>
        <v>#REF!</v>
      </c>
      <c r="AH130" s="34" t="e">
        <f>AND(#REF!,"AAAAAHb/xiE=")</f>
        <v>#REF!</v>
      </c>
      <c r="AI130" s="34" t="e">
        <f>AND(#REF!,"AAAAAHb/xiI=")</f>
        <v>#REF!</v>
      </c>
      <c r="AJ130" s="34" t="e">
        <f>AND(#REF!,"AAAAAHb/xiM=")</f>
        <v>#REF!</v>
      </c>
      <c r="AK130" s="34" t="e">
        <f>AND(#REF!,"AAAAAHb/xiQ=")</f>
        <v>#REF!</v>
      </c>
      <c r="AL130" s="34" t="e">
        <f>AND(#REF!,"AAAAAHb/xiU=")</f>
        <v>#REF!</v>
      </c>
      <c r="AM130" s="34" t="e">
        <f>AND(#REF!,"AAAAAHb/xiY=")</f>
        <v>#REF!</v>
      </c>
      <c r="AN130" s="34" t="e">
        <f>AND(#REF!,"AAAAAHb/xic=")</f>
        <v>#REF!</v>
      </c>
      <c r="AO130" s="34" t="e">
        <f>AND(#REF!,"AAAAAHb/xig=")</f>
        <v>#REF!</v>
      </c>
      <c r="AP130" s="34" t="e">
        <f>AND(#REF!,"AAAAAHb/xik=")</f>
        <v>#REF!</v>
      </c>
      <c r="AQ130" s="34" t="e">
        <f>AND(#REF!,"AAAAAHb/xio=")</f>
        <v>#REF!</v>
      </c>
      <c r="AR130" s="34" t="e">
        <f>AND(#REF!,"AAAAAHb/xis=")</f>
        <v>#REF!</v>
      </c>
      <c r="AS130" s="34" t="e">
        <f>AND(#REF!,"AAAAAHb/xiw=")</f>
        <v>#REF!</v>
      </c>
      <c r="AT130" s="34" t="e">
        <f>AND(#REF!,"AAAAAHb/xi0=")</f>
        <v>#REF!</v>
      </c>
      <c r="AU130" s="34" t="e">
        <f>AND(#REF!,"AAAAAHb/xi4=")</f>
        <v>#REF!</v>
      </c>
      <c r="AV130" s="34" t="e">
        <f>AND(#REF!,"AAAAAHb/xi8=")</f>
        <v>#REF!</v>
      </c>
      <c r="AW130" s="34" t="e">
        <f>AND(#REF!,"AAAAAHb/xjA=")</f>
        <v>#REF!</v>
      </c>
      <c r="AX130" s="34" t="e">
        <f>AND(#REF!,"AAAAAHb/xjE=")</f>
        <v>#REF!</v>
      </c>
      <c r="AY130" s="34" t="e">
        <f>AND(#REF!,"AAAAAHb/xjI=")</f>
        <v>#REF!</v>
      </c>
      <c r="AZ130" s="34" t="e">
        <f>AND(#REF!,"AAAAAHb/xjM=")</f>
        <v>#REF!</v>
      </c>
      <c r="BA130" s="34" t="e">
        <f>AND(#REF!,"AAAAAHb/xjQ=")</f>
        <v>#REF!</v>
      </c>
      <c r="BB130" s="34" t="e">
        <f>AND(#REF!,"AAAAAHb/xjU=")</f>
        <v>#REF!</v>
      </c>
      <c r="BC130" s="34" t="e">
        <f>AND(#REF!,"AAAAAHb/xjY=")</f>
        <v>#REF!</v>
      </c>
      <c r="BD130" s="34" t="e">
        <f>AND(#REF!,"AAAAAHb/xjc=")</f>
        <v>#REF!</v>
      </c>
      <c r="BE130" s="34" t="e">
        <f>AND(#REF!,"AAAAAHb/xjg=")</f>
        <v>#REF!</v>
      </c>
      <c r="BF130" s="34" t="e">
        <f>AND(#REF!,"AAAAAHb/xjk=")</f>
        <v>#REF!</v>
      </c>
      <c r="BG130" s="34" t="e">
        <f>AND(#REF!,"AAAAAHb/xjo=")</f>
        <v>#REF!</v>
      </c>
      <c r="BH130" s="34" t="e">
        <f>AND(#REF!,"AAAAAHb/xjs=")</f>
        <v>#REF!</v>
      </c>
      <c r="BI130" s="34" t="e">
        <f>AND(#REF!,"AAAAAHb/xjw=")</f>
        <v>#REF!</v>
      </c>
      <c r="BJ130" s="34" t="e">
        <f>AND(#REF!,"AAAAAHb/xj0=")</f>
        <v>#REF!</v>
      </c>
      <c r="BK130" s="34" t="e">
        <f>AND(#REF!,"AAAAAHb/xj4=")</f>
        <v>#REF!</v>
      </c>
      <c r="BL130" s="34" t="e">
        <f>IF(#REF!,"AAAAAHb/xj8=",0)</f>
        <v>#REF!</v>
      </c>
      <c r="BM130" s="34" t="e">
        <f>AND(#REF!,"AAAAAHb/xkA=")</f>
        <v>#REF!</v>
      </c>
      <c r="BN130" s="34" t="e">
        <f>AND(#REF!,"AAAAAHb/xkE=")</f>
        <v>#REF!</v>
      </c>
      <c r="BO130" s="34" t="e">
        <f>AND(#REF!,"AAAAAHb/xkI=")</f>
        <v>#REF!</v>
      </c>
      <c r="BP130" s="34" t="e">
        <f>AND(#REF!,"AAAAAHb/xkM=")</f>
        <v>#REF!</v>
      </c>
      <c r="BQ130" s="34" t="e">
        <f>AND(#REF!,"AAAAAHb/xkQ=")</f>
        <v>#REF!</v>
      </c>
      <c r="BR130" s="34" t="e">
        <f>AND(#REF!,"AAAAAHb/xkU=")</f>
        <v>#REF!</v>
      </c>
      <c r="BS130" s="34" t="e">
        <f>AND(#REF!,"AAAAAHb/xkY=")</f>
        <v>#REF!</v>
      </c>
      <c r="BT130" s="34" t="e">
        <f>AND(#REF!,"AAAAAHb/xkc=")</f>
        <v>#REF!</v>
      </c>
      <c r="BU130" s="34" t="e">
        <f>AND(#REF!,"AAAAAHb/xkg=")</f>
        <v>#REF!</v>
      </c>
      <c r="BV130" s="34" t="e">
        <f>AND(#REF!,"AAAAAHb/xkk=")</f>
        <v>#REF!</v>
      </c>
      <c r="BW130" s="34" t="e">
        <f>AND(#REF!,"AAAAAHb/xko=")</f>
        <v>#REF!</v>
      </c>
      <c r="BX130" s="34" t="e">
        <f>AND(#REF!,"AAAAAHb/xks=")</f>
        <v>#REF!</v>
      </c>
      <c r="BY130" s="34" t="e">
        <f>AND(#REF!,"AAAAAHb/xkw=")</f>
        <v>#REF!</v>
      </c>
      <c r="BZ130" s="34" t="e">
        <f>AND(#REF!,"AAAAAHb/xk0=")</f>
        <v>#REF!</v>
      </c>
      <c r="CA130" s="34" t="e">
        <f>AND(#REF!,"AAAAAHb/xk4=")</f>
        <v>#REF!</v>
      </c>
      <c r="CB130" s="34" t="e">
        <f>AND(#REF!,"AAAAAHb/xk8=")</f>
        <v>#REF!</v>
      </c>
      <c r="CC130" s="34" t="e">
        <f>AND(#REF!,"AAAAAHb/xlA=")</f>
        <v>#REF!</v>
      </c>
      <c r="CD130" s="34" t="e">
        <f>AND(#REF!,"AAAAAHb/xlE=")</f>
        <v>#REF!</v>
      </c>
      <c r="CE130" s="34" t="e">
        <f>AND(#REF!,"AAAAAHb/xlI=")</f>
        <v>#REF!</v>
      </c>
      <c r="CF130" s="34" t="e">
        <f>AND(#REF!,"AAAAAHb/xlM=")</f>
        <v>#REF!</v>
      </c>
      <c r="CG130" s="34" t="e">
        <f>AND(#REF!,"AAAAAHb/xlQ=")</f>
        <v>#REF!</v>
      </c>
      <c r="CH130" s="34" t="e">
        <f>AND(#REF!,"AAAAAHb/xlU=")</f>
        <v>#REF!</v>
      </c>
      <c r="CI130" s="34" t="e">
        <f>AND(#REF!,"AAAAAHb/xlY=")</f>
        <v>#REF!</v>
      </c>
      <c r="CJ130" s="34" t="e">
        <f>AND(#REF!,"AAAAAHb/xlc=")</f>
        <v>#REF!</v>
      </c>
      <c r="CK130" s="34" t="e">
        <f>AND(#REF!,"AAAAAHb/xlg=")</f>
        <v>#REF!</v>
      </c>
      <c r="CL130" s="34" t="e">
        <f>AND(#REF!,"AAAAAHb/xlk=")</f>
        <v>#REF!</v>
      </c>
      <c r="CM130" s="34" t="e">
        <f>AND(#REF!,"AAAAAHb/xlo=")</f>
        <v>#REF!</v>
      </c>
      <c r="CN130" s="34" t="e">
        <f>AND(#REF!,"AAAAAHb/xls=")</f>
        <v>#REF!</v>
      </c>
      <c r="CO130" s="34" t="e">
        <f>AND(#REF!,"AAAAAHb/xlw=")</f>
        <v>#REF!</v>
      </c>
      <c r="CP130" s="34" t="e">
        <f>AND(#REF!,"AAAAAHb/xl0=")</f>
        <v>#REF!</v>
      </c>
      <c r="CQ130" s="34" t="e">
        <f>AND(#REF!,"AAAAAHb/xl4=")</f>
        <v>#REF!</v>
      </c>
      <c r="CR130" s="34" t="e">
        <f>AND(#REF!,"AAAAAHb/xl8=")</f>
        <v>#REF!</v>
      </c>
      <c r="CS130" s="34" t="e">
        <f>AND(#REF!,"AAAAAHb/xmA=")</f>
        <v>#REF!</v>
      </c>
      <c r="CT130" s="34" t="e">
        <f>AND(#REF!,"AAAAAHb/xmE=")</f>
        <v>#REF!</v>
      </c>
      <c r="CU130" s="34" t="e">
        <f>AND(#REF!,"AAAAAHb/xmI=")</f>
        <v>#REF!</v>
      </c>
      <c r="CV130" s="34" t="e">
        <f>AND(#REF!,"AAAAAHb/xmM=")</f>
        <v>#REF!</v>
      </c>
      <c r="CW130" s="34" t="e">
        <f>AND(#REF!,"AAAAAHb/xmQ=")</f>
        <v>#REF!</v>
      </c>
      <c r="CX130" s="34" t="e">
        <f>AND(#REF!,"AAAAAHb/xmU=")</f>
        <v>#REF!</v>
      </c>
      <c r="CY130" s="34" t="e">
        <f>AND(#REF!,"AAAAAHb/xmY=")</f>
        <v>#REF!</v>
      </c>
      <c r="CZ130" s="34" t="e">
        <f>AND(#REF!,"AAAAAHb/xmc=")</f>
        <v>#REF!</v>
      </c>
      <c r="DA130" s="34" t="e">
        <f>AND(#REF!,"AAAAAHb/xmg=")</f>
        <v>#REF!</v>
      </c>
      <c r="DB130" s="34" t="e">
        <f>AND(#REF!,"AAAAAHb/xmk=")</f>
        <v>#REF!</v>
      </c>
      <c r="DC130" s="34" t="e">
        <f>IF(#REF!,"AAAAAHb/xmo=",0)</f>
        <v>#REF!</v>
      </c>
      <c r="DD130" s="34" t="e">
        <f>AND(#REF!,"AAAAAHb/xms=")</f>
        <v>#REF!</v>
      </c>
      <c r="DE130" s="34" t="e">
        <f>AND(#REF!,"AAAAAHb/xmw=")</f>
        <v>#REF!</v>
      </c>
      <c r="DF130" s="34" t="e">
        <f>AND(#REF!,"AAAAAHb/xm0=")</f>
        <v>#REF!</v>
      </c>
      <c r="DG130" s="34" t="e">
        <f>AND(#REF!,"AAAAAHb/xm4=")</f>
        <v>#REF!</v>
      </c>
      <c r="DH130" s="34" t="e">
        <f>AND(#REF!,"AAAAAHb/xm8=")</f>
        <v>#REF!</v>
      </c>
      <c r="DI130" s="34" t="e">
        <f>AND(#REF!,"AAAAAHb/xnA=")</f>
        <v>#REF!</v>
      </c>
      <c r="DJ130" s="34" t="e">
        <f>AND(#REF!,"AAAAAHb/xnE=")</f>
        <v>#REF!</v>
      </c>
      <c r="DK130" s="34" t="e">
        <f>AND(#REF!,"AAAAAHb/xnI=")</f>
        <v>#REF!</v>
      </c>
      <c r="DL130" s="34" t="e">
        <f>AND(#REF!,"AAAAAHb/xnM=")</f>
        <v>#REF!</v>
      </c>
      <c r="DM130" s="34" t="e">
        <f>AND(#REF!,"AAAAAHb/xnQ=")</f>
        <v>#REF!</v>
      </c>
      <c r="DN130" s="34" t="e">
        <f>AND(#REF!,"AAAAAHb/xnU=")</f>
        <v>#REF!</v>
      </c>
      <c r="DO130" s="34" t="e">
        <f>AND(#REF!,"AAAAAHb/xnY=")</f>
        <v>#REF!</v>
      </c>
      <c r="DP130" s="34" t="e">
        <f>AND(#REF!,"AAAAAHb/xnc=")</f>
        <v>#REF!</v>
      </c>
      <c r="DQ130" s="34" t="e">
        <f>AND(#REF!,"AAAAAHb/xng=")</f>
        <v>#REF!</v>
      </c>
      <c r="DR130" s="34" t="e">
        <f>AND(#REF!,"AAAAAHb/xnk=")</f>
        <v>#REF!</v>
      </c>
      <c r="DS130" s="34" t="e">
        <f>AND(#REF!,"AAAAAHb/xno=")</f>
        <v>#REF!</v>
      </c>
      <c r="DT130" s="34" t="e">
        <f>AND(#REF!,"AAAAAHb/xns=")</f>
        <v>#REF!</v>
      </c>
      <c r="DU130" s="34" t="e">
        <f>AND(#REF!,"AAAAAHb/xnw=")</f>
        <v>#REF!</v>
      </c>
      <c r="DV130" s="34" t="e">
        <f>AND(#REF!,"AAAAAHb/xn0=")</f>
        <v>#REF!</v>
      </c>
      <c r="DW130" s="34" t="e">
        <f>AND(#REF!,"AAAAAHb/xn4=")</f>
        <v>#REF!</v>
      </c>
      <c r="DX130" s="34" t="e">
        <f>AND(#REF!,"AAAAAHb/xn8=")</f>
        <v>#REF!</v>
      </c>
      <c r="DY130" s="34" t="e">
        <f>AND(#REF!,"AAAAAHb/xoA=")</f>
        <v>#REF!</v>
      </c>
      <c r="DZ130" s="34" t="e">
        <f>AND(#REF!,"AAAAAHb/xoE=")</f>
        <v>#REF!</v>
      </c>
      <c r="EA130" s="34" t="e">
        <f>AND(#REF!,"AAAAAHb/xoI=")</f>
        <v>#REF!</v>
      </c>
      <c r="EB130" s="34" t="e">
        <f>AND(#REF!,"AAAAAHb/xoM=")</f>
        <v>#REF!</v>
      </c>
      <c r="EC130" s="34" t="e">
        <f>AND(#REF!,"AAAAAHb/xoQ=")</f>
        <v>#REF!</v>
      </c>
      <c r="ED130" s="34" t="e">
        <f>AND(#REF!,"AAAAAHb/xoU=")</f>
        <v>#REF!</v>
      </c>
      <c r="EE130" s="34" t="e">
        <f>AND(#REF!,"AAAAAHb/xoY=")</f>
        <v>#REF!</v>
      </c>
      <c r="EF130" s="34" t="e">
        <f>AND(#REF!,"AAAAAHb/xoc=")</f>
        <v>#REF!</v>
      </c>
      <c r="EG130" s="34" t="e">
        <f>AND(#REF!,"AAAAAHb/xog=")</f>
        <v>#REF!</v>
      </c>
      <c r="EH130" s="34" t="e">
        <f>AND(#REF!,"AAAAAHb/xok=")</f>
        <v>#REF!</v>
      </c>
      <c r="EI130" s="34" t="e">
        <f>AND(#REF!,"AAAAAHb/xoo=")</f>
        <v>#REF!</v>
      </c>
      <c r="EJ130" s="34" t="e">
        <f>AND(#REF!,"AAAAAHb/xos=")</f>
        <v>#REF!</v>
      </c>
      <c r="EK130" s="34" t="e">
        <f>AND(#REF!,"AAAAAHb/xow=")</f>
        <v>#REF!</v>
      </c>
      <c r="EL130" s="34" t="e">
        <f>AND(#REF!,"AAAAAHb/xo0=")</f>
        <v>#REF!</v>
      </c>
      <c r="EM130" s="34" t="e">
        <f>AND(#REF!,"AAAAAHb/xo4=")</f>
        <v>#REF!</v>
      </c>
      <c r="EN130" s="34" t="e">
        <f>AND(#REF!,"AAAAAHb/xo8=")</f>
        <v>#REF!</v>
      </c>
      <c r="EO130" s="34" t="e">
        <f>AND(#REF!,"AAAAAHb/xpA=")</f>
        <v>#REF!</v>
      </c>
      <c r="EP130" s="34" t="e">
        <f>AND(#REF!,"AAAAAHb/xpE=")</f>
        <v>#REF!</v>
      </c>
      <c r="EQ130" s="34" t="e">
        <f>AND(#REF!,"AAAAAHb/xpI=")</f>
        <v>#REF!</v>
      </c>
      <c r="ER130" s="34" t="e">
        <f>AND(#REF!,"AAAAAHb/xpM=")</f>
        <v>#REF!</v>
      </c>
      <c r="ES130" s="34" t="e">
        <f>AND(#REF!,"AAAAAHb/xpQ=")</f>
        <v>#REF!</v>
      </c>
      <c r="ET130" s="34" t="e">
        <f>IF(#REF!,"AAAAAHb/xpU=",0)</f>
        <v>#REF!</v>
      </c>
      <c r="EU130" s="34" t="e">
        <f>AND(#REF!,"AAAAAHb/xpY=")</f>
        <v>#REF!</v>
      </c>
      <c r="EV130" s="34" t="e">
        <f>AND(#REF!,"AAAAAHb/xpc=")</f>
        <v>#REF!</v>
      </c>
      <c r="EW130" s="34" t="e">
        <f>AND(#REF!,"AAAAAHb/xpg=")</f>
        <v>#REF!</v>
      </c>
      <c r="EX130" s="34" t="e">
        <f>AND(#REF!,"AAAAAHb/xpk=")</f>
        <v>#REF!</v>
      </c>
      <c r="EY130" s="34" t="e">
        <f>AND(#REF!,"AAAAAHb/xpo=")</f>
        <v>#REF!</v>
      </c>
      <c r="EZ130" s="34" t="e">
        <f>AND(#REF!,"AAAAAHb/xps=")</f>
        <v>#REF!</v>
      </c>
      <c r="FA130" s="34" t="e">
        <f>AND(#REF!,"AAAAAHb/xpw=")</f>
        <v>#REF!</v>
      </c>
      <c r="FB130" s="34" t="e">
        <f>AND(#REF!,"AAAAAHb/xp0=")</f>
        <v>#REF!</v>
      </c>
      <c r="FC130" s="34" t="e">
        <f>AND(#REF!,"AAAAAHb/xp4=")</f>
        <v>#REF!</v>
      </c>
      <c r="FD130" s="34" t="e">
        <f>AND(#REF!,"AAAAAHb/xp8=")</f>
        <v>#REF!</v>
      </c>
      <c r="FE130" s="34" t="e">
        <f>AND(#REF!,"AAAAAHb/xqA=")</f>
        <v>#REF!</v>
      </c>
      <c r="FF130" s="34" t="e">
        <f>AND(#REF!,"AAAAAHb/xqE=")</f>
        <v>#REF!</v>
      </c>
      <c r="FG130" s="34" t="e">
        <f>AND(#REF!,"AAAAAHb/xqI=")</f>
        <v>#REF!</v>
      </c>
      <c r="FH130" s="34" t="e">
        <f>AND(#REF!,"AAAAAHb/xqM=")</f>
        <v>#REF!</v>
      </c>
      <c r="FI130" s="34" t="e">
        <f>AND(#REF!,"AAAAAHb/xqQ=")</f>
        <v>#REF!</v>
      </c>
      <c r="FJ130" s="34" t="e">
        <f>AND(#REF!,"AAAAAHb/xqU=")</f>
        <v>#REF!</v>
      </c>
      <c r="FK130" s="34" t="e">
        <f>AND(#REF!,"AAAAAHb/xqY=")</f>
        <v>#REF!</v>
      </c>
      <c r="FL130" s="34" t="e">
        <f>AND(#REF!,"AAAAAHb/xqc=")</f>
        <v>#REF!</v>
      </c>
      <c r="FM130" s="34" t="e">
        <f>AND(#REF!,"AAAAAHb/xqg=")</f>
        <v>#REF!</v>
      </c>
      <c r="FN130" s="34" t="e">
        <f>AND(#REF!,"AAAAAHb/xqk=")</f>
        <v>#REF!</v>
      </c>
      <c r="FO130" s="34" t="e">
        <f>AND(#REF!,"AAAAAHb/xqo=")</f>
        <v>#REF!</v>
      </c>
      <c r="FP130" s="34" t="e">
        <f>AND(#REF!,"AAAAAHb/xqs=")</f>
        <v>#REF!</v>
      </c>
      <c r="FQ130" s="34" t="e">
        <f>AND(#REF!,"AAAAAHb/xqw=")</f>
        <v>#REF!</v>
      </c>
      <c r="FR130" s="34" t="e">
        <f>AND(#REF!,"AAAAAHb/xq0=")</f>
        <v>#REF!</v>
      </c>
      <c r="FS130" s="34" t="e">
        <f>AND(#REF!,"AAAAAHb/xq4=")</f>
        <v>#REF!</v>
      </c>
      <c r="FT130" s="34" t="e">
        <f>AND(#REF!,"AAAAAHb/xq8=")</f>
        <v>#REF!</v>
      </c>
      <c r="FU130" s="34" t="e">
        <f>AND(#REF!,"AAAAAHb/xrA=")</f>
        <v>#REF!</v>
      </c>
      <c r="FV130" s="34" t="e">
        <f>AND(#REF!,"AAAAAHb/xrE=")</f>
        <v>#REF!</v>
      </c>
      <c r="FW130" s="34" t="e">
        <f>AND(#REF!,"AAAAAHb/xrI=")</f>
        <v>#REF!</v>
      </c>
      <c r="FX130" s="34" t="e">
        <f>AND(#REF!,"AAAAAHb/xrM=")</f>
        <v>#REF!</v>
      </c>
      <c r="FY130" s="34" t="e">
        <f>AND(#REF!,"AAAAAHb/xrQ=")</f>
        <v>#REF!</v>
      </c>
      <c r="FZ130" s="34" t="e">
        <f>AND(#REF!,"AAAAAHb/xrU=")</f>
        <v>#REF!</v>
      </c>
      <c r="GA130" s="34" t="e">
        <f>AND(#REF!,"AAAAAHb/xrY=")</f>
        <v>#REF!</v>
      </c>
      <c r="GB130" s="34" t="e">
        <f>AND(#REF!,"AAAAAHb/xrc=")</f>
        <v>#REF!</v>
      </c>
      <c r="GC130" s="34" t="e">
        <f>AND(#REF!,"AAAAAHb/xrg=")</f>
        <v>#REF!</v>
      </c>
      <c r="GD130" s="34" t="e">
        <f>AND(#REF!,"AAAAAHb/xrk=")</f>
        <v>#REF!</v>
      </c>
      <c r="GE130" s="34" t="e">
        <f>AND(#REF!,"AAAAAHb/xro=")</f>
        <v>#REF!</v>
      </c>
      <c r="GF130" s="34" t="e">
        <f>AND(#REF!,"AAAAAHb/xrs=")</f>
        <v>#REF!</v>
      </c>
      <c r="GG130" s="34" t="e">
        <f>AND(#REF!,"AAAAAHb/xrw=")</f>
        <v>#REF!</v>
      </c>
      <c r="GH130" s="34" t="e">
        <f>AND(#REF!,"AAAAAHb/xr0=")</f>
        <v>#REF!</v>
      </c>
      <c r="GI130" s="34" t="e">
        <f>AND(#REF!,"AAAAAHb/xr4=")</f>
        <v>#REF!</v>
      </c>
      <c r="GJ130" s="34" t="e">
        <f>AND(#REF!,"AAAAAHb/xr8=")</f>
        <v>#REF!</v>
      </c>
      <c r="GK130" s="34" t="e">
        <f>IF(#REF!,"AAAAAHb/xsA=",0)</f>
        <v>#REF!</v>
      </c>
      <c r="GL130" s="34" t="e">
        <f>AND(#REF!,"AAAAAHb/xsE=")</f>
        <v>#REF!</v>
      </c>
      <c r="GM130" s="34" t="e">
        <f>AND(#REF!,"AAAAAHb/xsI=")</f>
        <v>#REF!</v>
      </c>
      <c r="GN130" s="34" t="e">
        <f>AND(#REF!,"AAAAAHb/xsM=")</f>
        <v>#REF!</v>
      </c>
      <c r="GO130" s="34" t="e">
        <f>AND(#REF!,"AAAAAHb/xsQ=")</f>
        <v>#REF!</v>
      </c>
      <c r="GP130" s="34" t="e">
        <f>AND(#REF!,"AAAAAHb/xsU=")</f>
        <v>#REF!</v>
      </c>
      <c r="GQ130" s="34" t="e">
        <f>AND(#REF!,"AAAAAHb/xsY=")</f>
        <v>#REF!</v>
      </c>
      <c r="GR130" s="34" t="e">
        <f>AND(#REF!,"AAAAAHb/xsc=")</f>
        <v>#REF!</v>
      </c>
      <c r="GS130" s="34" t="e">
        <f>AND(#REF!,"AAAAAHb/xsg=")</f>
        <v>#REF!</v>
      </c>
      <c r="GT130" s="34" t="e">
        <f>AND(#REF!,"AAAAAHb/xsk=")</f>
        <v>#REF!</v>
      </c>
      <c r="GU130" s="34" t="e">
        <f>AND(#REF!,"AAAAAHb/xso=")</f>
        <v>#REF!</v>
      </c>
      <c r="GV130" s="34" t="e">
        <f>AND(#REF!,"AAAAAHb/xss=")</f>
        <v>#REF!</v>
      </c>
      <c r="GW130" s="34" t="e">
        <f>AND(#REF!,"AAAAAHb/xsw=")</f>
        <v>#REF!</v>
      </c>
      <c r="GX130" s="34" t="e">
        <f>AND(#REF!,"AAAAAHb/xs0=")</f>
        <v>#REF!</v>
      </c>
      <c r="GY130" s="34" t="e">
        <f>AND(#REF!,"AAAAAHb/xs4=")</f>
        <v>#REF!</v>
      </c>
      <c r="GZ130" s="34" t="e">
        <f>AND(#REF!,"AAAAAHb/xs8=")</f>
        <v>#REF!</v>
      </c>
      <c r="HA130" s="34" t="e">
        <f>AND(#REF!,"AAAAAHb/xtA=")</f>
        <v>#REF!</v>
      </c>
      <c r="HB130" s="34" t="e">
        <f>AND(#REF!,"AAAAAHb/xtE=")</f>
        <v>#REF!</v>
      </c>
      <c r="HC130" s="34" t="e">
        <f>AND(#REF!,"AAAAAHb/xtI=")</f>
        <v>#REF!</v>
      </c>
      <c r="HD130" s="34" t="e">
        <f>AND(#REF!,"AAAAAHb/xtM=")</f>
        <v>#REF!</v>
      </c>
      <c r="HE130" s="34" t="e">
        <f>AND(#REF!,"AAAAAHb/xtQ=")</f>
        <v>#REF!</v>
      </c>
      <c r="HF130" s="34" t="e">
        <f>AND(#REF!,"AAAAAHb/xtU=")</f>
        <v>#REF!</v>
      </c>
      <c r="HG130" s="34" t="e">
        <f>AND(#REF!,"AAAAAHb/xtY=")</f>
        <v>#REF!</v>
      </c>
      <c r="HH130" s="34" t="e">
        <f>AND(#REF!,"AAAAAHb/xtc=")</f>
        <v>#REF!</v>
      </c>
      <c r="HI130" s="34" t="e">
        <f>AND(#REF!,"AAAAAHb/xtg=")</f>
        <v>#REF!</v>
      </c>
      <c r="HJ130" s="34" t="e">
        <f>AND(#REF!,"AAAAAHb/xtk=")</f>
        <v>#REF!</v>
      </c>
      <c r="HK130" s="34" t="e">
        <f>AND(#REF!,"AAAAAHb/xto=")</f>
        <v>#REF!</v>
      </c>
      <c r="HL130" s="34" t="e">
        <f>AND(#REF!,"AAAAAHb/xts=")</f>
        <v>#REF!</v>
      </c>
      <c r="HM130" s="34" t="e">
        <f>AND(#REF!,"AAAAAHb/xtw=")</f>
        <v>#REF!</v>
      </c>
      <c r="HN130" s="34" t="e">
        <f>AND(#REF!,"AAAAAHb/xt0=")</f>
        <v>#REF!</v>
      </c>
      <c r="HO130" s="34" t="e">
        <f>AND(#REF!,"AAAAAHb/xt4=")</f>
        <v>#REF!</v>
      </c>
      <c r="HP130" s="34" t="e">
        <f>AND(#REF!,"AAAAAHb/xt8=")</f>
        <v>#REF!</v>
      </c>
      <c r="HQ130" s="34" t="e">
        <f>AND(#REF!,"AAAAAHb/xuA=")</f>
        <v>#REF!</v>
      </c>
      <c r="HR130" s="34" t="e">
        <f>AND(#REF!,"AAAAAHb/xuE=")</f>
        <v>#REF!</v>
      </c>
      <c r="HS130" s="34" t="e">
        <f>AND(#REF!,"AAAAAHb/xuI=")</f>
        <v>#REF!</v>
      </c>
      <c r="HT130" s="34" t="e">
        <f>AND(#REF!,"AAAAAHb/xuM=")</f>
        <v>#REF!</v>
      </c>
      <c r="HU130" s="34" t="e">
        <f>AND(#REF!,"AAAAAHb/xuQ=")</f>
        <v>#REF!</v>
      </c>
      <c r="HV130" s="34" t="e">
        <f>AND(#REF!,"AAAAAHb/xuU=")</f>
        <v>#REF!</v>
      </c>
      <c r="HW130" s="34" t="e">
        <f>AND(#REF!,"AAAAAHb/xuY=")</f>
        <v>#REF!</v>
      </c>
      <c r="HX130" s="34" t="e">
        <f>AND(#REF!,"AAAAAHb/xuc=")</f>
        <v>#REF!</v>
      </c>
      <c r="HY130" s="34" t="e">
        <f>AND(#REF!,"AAAAAHb/xug=")</f>
        <v>#REF!</v>
      </c>
      <c r="HZ130" s="34" t="e">
        <f>AND(#REF!,"AAAAAHb/xuk=")</f>
        <v>#REF!</v>
      </c>
      <c r="IA130" s="34" t="e">
        <f>AND(#REF!,"AAAAAHb/xuo=")</f>
        <v>#REF!</v>
      </c>
      <c r="IB130" s="34" t="e">
        <f>IF(#REF!,"AAAAAHb/xus=",0)</f>
        <v>#REF!</v>
      </c>
      <c r="IC130" s="34" t="e">
        <f>AND(#REF!,"AAAAAHb/xuw=")</f>
        <v>#REF!</v>
      </c>
      <c r="ID130" s="34" t="e">
        <f>AND(#REF!,"AAAAAHb/xu0=")</f>
        <v>#REF!</v>
      </c>
      <c r="IE130" s="34" t="e">
        <f>AND(#REF!,"AAAAAHb/xu4=")</f>
        <v>#REF!</v>
      </c>
      <c r="IF130" s="34" t="e">
        <f>AND(#REF!,"AAAAAHb/xu8=")</f>
        <v>#REF!</v>
      </c>
      <c r="IG130" s="34" t="e">
        <f>AND(#REF!,"AAAAAHb/xvA=")</f>
        <v>#REF!</v>
      </c>
      <c r="IH130" s="34" t="e">
        <f>AND(#REF!,"AAAAAHb/xvE=")</f>
        <v>#REF!</v>
      </c>
      <c r="II130" s="34" t="e">
        <f>AND(#REF!,"AAAAAHb/xvI=")</f>
        <v>#REF!</v>
      </c>
      <c r="IJ130" s="34" t="e">
        <f>AND(#REF!,"AAAAAHb/xvM=")</f>
        <v>#REF!</v>
      </c>
      <c r="IK130" s="34" t="e">
        <f>AND(#REF!,"AAAAAHb/xvQ=")</f>
        <v>#REF!</v>
      </c>
      <c r="IL130" s="34" t="e">
        <f>AND(#REF!,"AAAAAHb/xvU=")</f>
        <v>#REF!</v>
      </c>
      <c r="IM130" s="34" t="e">
        <f>AND(#REF!,"AAAAAHb/xvY=")</f>
        <v>#REF!</v>
      </c>
      <c r="IN130" s="34" t="e">
        <f>AND(#REF!,"AAAAAHb/xvc=")</f>
        <v>#REF!</v>
      </c>
      <c r="IO130" s="34" t="e">
        <f>AND(#REF!,"AAAAAHb/xvg=")</f>
        <v>#REF!</v>
      </c>
      <c r="IP130" s="34" t="e">
        <f>AND(#REF!,"AAAAAHb/xvk=")</f>
        <v>#REF!</v>
      </c>
      <c r="IQ130" s="34" t="e">
        <f>AND(#REF!,"AAAAAHb/xvo=")</f>
        <v>#REF!</v>
      </c>
      <c r="IR130" s="34" t="e">
        <f>AND(#REF!,"AAAAAHb/xvs=")</f>
        <v>#REF!</v>
      </c>
      <c r="IS130" s="34" t="e">
        <f>AND(#REF!,"AAAAAHb/xvw=")</f>
        <v>#REF!</v>
      </c>
      <c r="IT130" s="34" t="e">
        <f>AND(#REF!,"AAAAAHb/xv0=")</f>
        <v>#REF!</v>
      </c>
      <c r="IU130" s="34" t="e">
        <f>AND(#REF!,"AAAAAHb/xv4=")</f>
        <v>#REF!</v>
      </c>
      <c r="IV130" s="34" t="e">
        <f>AND(#REF!,"AAAAAHb/xv8=")</f>
        <v>#REF!</v>
      </c>
    </row>
    <row r="131" spans="1:256" ht="12.75" customHeight="1" x14ac:dyDescent="0.2">
      <c r="A131" s="34" t="e">
        <f>AND(#REF!,"AAAAADvf1AA=")</f>
        <v>#REF!</v>
      </c>
      <c r="B131" s="34" t="e">
        <f>AND(#REF!,"AAAAADvf1AE=")</f>
        <v>#REF!</v>
      </c>
      <c r="C131" s="34" t="e">
        <f>AND(#REF!,"AAAAADvf1AI=")</f>
        <v>#REF!</v>
      </c>
      <c r="D131" s="34" t="e">
        <f>AND(#REF!,"AAAAADvf1AM=")</f>
        <v>#REF!</v>
      </c>
      <c r="E131" s="34" t="e">
        <f>AND(#REF!,"AAAAADvf1AQ=")</f>
        <v>#REF!</v>
      </c>
      <c r="F131" s="34" t="e">
        <f>AND(#REF!,"AAAAADvf1AU=")</f>
        <v>#REF!</v>
      </c>
      <c r="G131" s="34" t="e">
        <f>AND(#REF!,"AAAAADvf1AY=")</f>
        <v>#REF!</v>
      </c>
      <c r="H131" s="34" t="e">
        <f>AND(#REF!,"AAAAADvf1Ac=")</f>
        <v>#REF!</v>
      </c>
      <c r="I131" s="34" t="e">
        <f>AND(#REF!,"AAAAADvf1Ag=")</f>
        <v>#REF!</v>
      </c>
      <c r="J131" s="34" t="e">
        <f>AND(#REF!,"AAAAADvf1Ak=")</f>
        <v>#REF!</v>
      </c>
      <c r="K131" s="34" t="e">
        <f>AND(#REF!,"AAAAADvf1Ao=")</f>
        <v>#REF!</v>
      </c>
      <c r="L131" s="34" t="e">
        <f>AND(#REF!,"AAAAADvf1As=")</f>
        <v>#REF!</v>
      </c>
      <c r="M131" s="34" t="e">
        <f>AND(#REF!,"AAAAADvf1Aw=")</f>
        <v>#REF!</v>
      </c>
      <c r="N131" s="34" t="e">
        <f>AND(#REF!,"AAAAADvf1A0=")</f>
        <v>#REF!</v>
      </c>
      <c r="O131" s="34" t="e">
        <f>AND(#REF!,"AAAAADvf1A4=")</f>
        <v>#REF!</v>
      </c>
      <c r="P131" s="34" t="e">
        <f>AND(#REF!,"AAAAADvf1A8=")</f>
        <v>#REF!</v>
      </c>
      <c r="Q131" s="34" t="e">
        <f>AND(#REF!,"AAAAADvf1BA=")</f>
        <v>#REF!</v>
      </c>
      <c r="R131" s="34" t="e">
        <f>AND(#REF!,"AAAAADvf1BE=")</f>
        <v>#REF!</v>
      </c>
      <c r="S131" s="34" t="e">
        <f>AND(#REF!,"AAAAADvf1BI=")</f>
        <v>#REF!</v>
      </c>
      <c r="T131" s="34" t="e">
        <f>AND(#REF!,"AAAAADvf1BM=")</f>
        <v>#REF!</v>
      </c>
      <c r="U131" s="34" t="e">
        <f>AND(#REF!,"AAAAADvf1BQ=")</f>
        <v>#REF!</v>
      </c>
      <c r="V131" s="34" t="e">
        <f>AND(#REF!,"AAAAADvf1BU=")</f>
        <v>#REF!</v>
      </c>
      <c r="W131" s="34" t="e">
        <f>IF(#REF!,"AAAAADvf1BY=",0)</f>
        <v>#REF!</v>
      </c>
      <c r="X131" s="34" t="e">
        <f>AND(#REF!,"AAAAADvf1Bc=")</f>
        <v>#REF!</v>
      </c>
      <c r="Y131" s="34" t="e">
        <f>AND(#REF!,"AAAAADvf1Bg=")</f>
        <v>#REF!</v>
      </c>
      <c r="Z131" s="34" t="e">
        <f>AND(#REF!,"AAAAADvf1Bk=")</f>
        <v>#REF!</v>
      </c>
      <c r="AA131" s="34" t="e">
        <f>AND(#REF!,"AAAAADvf1Bo=")</f>
        <v>#REF!</v>
      </c>
      <c r="AB131" s="34" t="e">
        <f>AND(#REF!,"AAAAADvf1Bs=")</f>
        <v>#REF!</v>
      </c>
      <c r="AC131" s="34" t="e">
        <f>AND(#REF!,"AAAAADvf1Bw=")</f>
        <v>#REF!</v>
      </c>
      <c r="AD131" s="34" t="e">
        <f>AND(#REF!,"AAAAADvf1B0=")</f>
        <v>#REF!</v>
      </c>
      <c r="AE131" s="34" t="e">
        <f>AND(#REF!,"AAAAADvf1B4=")</f>
        <v>#REF!</v>
      </c>
      <c r="AF131" s="34" t="e">
        <f>AND(#REF!,"AAAAADvf1B8=")</f>
        <v>#REF!</v>
      </c>
      <c r="AG131" s="34" t="e">
        <f>AND(#REF!,"AAAAADvf1CA=")</f>
        <v>#REF!</v>
      </c>
      <c r="AH131" s="34" t="e">
        <f>AND(#REF!,"AAAAADvf1CE=")</f>
        <v>#REF!</v>
      </c>
      <c r="AI131" s="34" t="e">
        <f>AND(#REF!,"AAAAADvf1CI=")</f>
        <v>#REF!</v>
      </c>
      <c r="AJ131" s="34" t="e">
        <f>AND(#REF!,"AAAAADvf1CM=")</f>
        <v>#REF!</v>
      </c>
      <c r="AK131" s="34" t="e">
        <f>AND(#REF!,"AAAAADvf1CQ=")</f>
        <v>#REF!</v>
      </c>
      <c r="AL131" s="34" t="e">
        <f>AND(#REF!,"AAAAADvf1CU=")</f>
        <v>#REF!</v>
      </c>
      <c r="AM131" s="34" t="e">
        <f>AND(#REF!,"AAAAADvf1CY=")</f>
        <v>#REF!</v>
      </c>
      <c r="AN131" s="34" t="e">
        <f>AND(#REF!,"AAAAADvf1Cc=")</f>
        <v>#REF!</v>
      </c>
      <c r="AO131" s="34" t="e">
        <f>AND(#REF!,"AAAAADvf1Cg=")</f>
        <v>#REF!</v>
      </c>
      <c r="AP131" s="34" t="e">
        <f>AND(#REF!,"AAAAADvf1Ck=")</f>
        <v>#REF!</v>
      </c>
      <c r="AQ131" s="34" t="e">
        <f>AND(#REF!,"AAAAADvf1Co=")</f>
        <v>#REF!</v>
      </c>
      <c r="AR131" s="34" t="e">
        <f>AND(#REF!,"AAAAADvf1Cs=")</f>
        <v>#REF!</v>
      </c>
      <c r="AS131" s="34" t="e">
        <f>AND(#REF!,"AAAAADvf1Cw=")</f>
        <v>#REF!</v>
      </c>
      <c r="AT131" s="34" t="e">
        <f>AND(#REF!,"AAAAADvf1C0=")</f>
        <v>#REF!</v>
      </c>
      <c r="AU131" s="34" t="e">
        <f>AND(#REF!,"AAAAADvf1C4=")</f>
        <v>#REF!</v>
      </c>
      <c r="AV131" s="34" t="e">
        <f>AND(#REF!,"AAAAADvf1C8=")</f>
        <v>#REF!</v>
      </c>
      <c r="AW131" s="34" t="e">
        <f>AND(#REF!,"AAAAADvf1DA=")</f>
        <v>#REF!</v>
      </c>
      <c r="AX131" s="34" t="e">
        <f>AND(#REF!,"AAAAADvf1DE=")</f>
        <v>#REF!</v>
      </c>
      <c r="AY131" s="34" t="e">
        <f>AND(#REF!,"AAAAADvf1DI=")</f>
        <v>#REF!</v>
      </c>
      <c r="AZ131" s="34" t="e">
        <f>AND(#REF!,"AAAAADvf1DM=")</f>
        <v>#REF!</v>
      </c>
      <c r="BA131" s="34" t="e">
        <f>AND(#REF!,"AAAAADvf1DQ=")</f>
        <v>#REF!</v>
      </c>
      <c r="BB131" s="34" t="e">
        <f>AND(#REF!,"AAAAADvf1DU=")</f>
        <v>#REF!</v>
      </c>
      <c r="BC131" s="34" t="e">
        <f>AND(#REF!,"AAAAADvf1DY=")</f>
        <v>#REF!</v>
      </c>
      <c r="BD131" s="34" t="e">
        <f>AND(#REF!,"AAAAADvf1Dc=")</f>
        <v>#REF!</v>
      </c>
      <c r="BE131" s="34" t="e">
        <f>AND(#REF!,"AAAAADvf1Dg=")</f>
        <v>#REF!</v>
      </c>
      <c r="BF131" s="34" t="e">
        <f>AND(#REF!,"AAAAADvf1Dk=")</f>
        <v>#REF!</v>
      </c>
      <c r="BG131" s="34" t="e">
        <f>AND(#REF!,"AAAAADvf1Do=")</f>
        <v>#REF!</v>
      </c>
      <c r="BH131" s="34" t="e">
        <f>AND(#REF!,"AAAAADvf1Ds=")</f>
        <v>#REF!</v>
      </c>
      <c r="BI131" s="34" t="e">
        <f>AND(#REF!,"AAAAADvf1Dw=")</f>
        <v>#REF!</v>
      </c>
      <c r="BJ131" s="34" t="e">
        <f>AND(#REF!,"AAAAADvf1D0=")</f>
        <v>#REF!</v>
      </c>
      <c r="BK131" s="34" t="e">
        <f>AND(#REF!,"AAAAADvf1D4=")</f>
        <v>#REF!</v>
      </c>
      <c r="BL131" s="34" t="e">
        <f>AND(#REF!,"AAAAADvf1D8=")</f>
        <v>#REF!</v>
      </c>
      <c r="BM131" s="34" t="e">
        <f>AND(#REF!,"AAAAADvf1EA=")</f>
        <v>#REF!</v>
      </c>
      <c r="BN131" s="34" t="e">
        <f>IF(#REF!,"AAAAADvf1EE=",0)</f>
        <v>#REF!</v>
      </c>
      <c r="BO131" s="34" t="e">
        <f>AND(#REF!,"AAAAADvf1EI=")</f>
        <v>#REF!</v>
      </c>
      <c r="BP131" s="34" t="e">
        <f>AND(#REF!,"AAAAADvf1EM=")</f>
        <v>#REF!</v>
      </c>
      <c r="BQ131" s="34" t="e">
        <f>AND(#REF!,"AAAAADvf1EQ=")</f>
        <v>#REF!</v>
      </c>
      <c r="BR131" s="34" t="e">
        <f>AND(#REF!,"AAAAADvf1EU=")</f>
        <v>#REF!</v>
      </c>
      <c r="BS131" s="34" t="e">
        <f>AND(#REF!,"AAAAADvf1EY=")</f>
        <v>#REF!</v>
      </c>
      <c r="BT131" s="34" t="e">
        <f>AND(#REF!,"AAAAADvf1Ec=")</f>
        <v>#REF!</v>
      </c>
      <c r="BU131" s="34" t="e">
        <f>AND(#REF!,"AAAAADvf1Eg=")</f>
        <v>#REF!</v>
      </c>
      <c r="BV131" s="34" t="e">
        <f>AND(#REF!,"AAAAADvf1Ek=")</f>
        <v>#REF!</v>
      </c>
      <c r="BW131" s="34" t="e">
        <f>AND(#REF!,"AAAAADvf1Eo=")</f>
        <v>#REF!</v>
      </c>
      <c r="BX131" s="34" t="e">
        <f>AND(#REF!,"AAAAADvf1Es=")</f>
        <v>#REF!</v>
      </c>
      <c r="BY131" s="34" t="e">
        <f>AND(#REF!,"AAAAADvf1Ew=")</f>
        <v>#REF!</v>
      </c>
      <c r="BZ131" s="34" t="e">
        <f>AND(#REF!,"AAAAADvf1E0=")</f>
        <v>#REF!</v>
      </c>
      <c r="CA131" s="34" t="e">
        <f>AND(#REF!,"AAAAADvf1E4=")</f>
        <v>#REF!</v>
      </c>
      <c r="CB131" s="34" t="e">
        <f>AND(#REF!,"AAAAADvf1E8=")</f>
        <v>#REF!</v>
      </c>
      <c r="CC131" s="34" t="e">
        <f>AND(#REF!,"AAAAADvf1FA=")</f>
        <v>#REF!</v>
      </c>
      <c r="CD131" s="34" t="e">
        <f>AND(#REF!,"AAAAADvf1FE=")</f>
        <v>#REF!</v>
      </c>
      <c r="CE131" s="34" t="e">
        <f>AND(#REF!,"AAAAADvf1FI=")</f>
        <v>#REF!</v>
      </c>
      <c r="CF131" s="34" t="e">
        <f>AND(#REF!,"AAAAADvf1FM=")</f>
        <v>#REF!</v>
      </c>
      <c r="CG131" s="34" t="e">
        <f>AND(#REF!,"AAAAADvf1FQ=")</f>
        <v>#REF!</v>
      </c>
      <c r="CH131" s="34" t="e">
        <f>AND(#REF!,"AAAAADvf1FU=")</f>
        <v>#REF!</v>
      </c>
      <c r="CI131" s="34" t="e">
        <f>AND(#REF!,"AAAAADvf1FY=")</f>
        <v>#REF!</v>
      </c>
      <c r="CJ131" s="34" t="e">
        <f>AND(#REF!,"AAAAADvf1Fc=")</f>
        <v>#REF!</v>
      </c>
      <c r="CK131" s="34" t="e">
        <f>AND(#REF!,"AAAAADvf1Fg=")</f>
        <v>#REF!</v>
      </c>
      <c r="CL131" s="34" t="e">
        <f>AND(#REF!,"AAAAADvf1Fk=")</f>
        <v>#REF!</v>
      </c>
      <c r="CM131" s="34" t="e">
        <f>AND(#REF!,"AAAAADvf1Fo=")</f>
        <v>#REF!</v>
      </c>
      <c r="CN131" s="34" t="e">
        <f>AND(#REF!,"AAAAADvf1Fs=")</f>
        <v>#REF!</v>
      </c>
      <c r="CO131" s="34" t="e">
        <f>AND(#REF!,"AAAAADvf1Fw=")</f>
        <v>#REF!</v>
      </c>
      <c r="CP131" s="34" t="e">
        <f>AND(#REF!,"AAAAADvf1F0=")</f>
        <v>#REF!</v>
      </c>
      <c r="CQ131" s="34" t="e">
        <f>AND(#REF!,"AAAAADvf1F4=")</f>
        <v>#REF!</v>
      </c>
      <c r="CR131" s="34" t="e">
        <f>AND(#REF!,"AAAAADvf1F8=")</f>
        <v>#REF!</v>
      </c>
      <c r="CS131" s="34" t="e">
        <f>AND(#REF!,"AAAAADvf1GA=")</f>
        <v>#REF!</v>
      </c>
      <c r="CT131" s="34" t="e">
        <f>AND(#REF!,"AAAAADvf1GE=")</f>
        <v>#REF!</v>
      </c>
      <c r="CU131" s="34" t="e">
        <f>AND(#REF!,"AAAAADvf1GI=")</f>
        <v>#REF!</v>
      </c>
      <c r="CV131" s="34" t="e">
        <f>AND(#REF!,"AAAAADvf1GM=")</f>
        <v>#REF!</v>
      </c>
      <c r="CW131" s="34" t="e">
        <f>AND(#REF!,"AAAAADvf1GQ=")</f>
        <v>#REF!</v>
      </c>
      <c r="CX131" s="34" t="e">
        <f>AND(#REF!,"AAAAADvf1GU=")</f>
        <v>#REF!</v>
      </c>
      <c r="CY131" s="34" t="e">
        <f>AND(#REF!,"AAAAADvf1GY=")</f>
        <v>#REF!</v>
      </c>
      <c r="CZ131" s="34" t="e">
        <f>AND(#REF!,"AAAAADvf1Gc=")</f>
        <v>#REF!</v>
      </c>
      <c r="DA131" s="34" t="e">
        <f>AND(#REF!,"AAAAADvf1Gg=")</f>
        <v>#REF!</v>
      </c>
      <c r="DB131" s="34" t="e">
        <f>AND(#REF!,"AAAAADvf1Gk=")</f>
        <v>#REF!</v>
      </c>
      <c r="DC131" s="34" t="e">
        <f>AND(#REF!,"AAAAADvf1Go=")</f>
        <v>#REF!</v>
      </c>
      <c r="DD131" s="34" t="e">
        <f>AND(#REF!,"AAAAADvf1Gs=")</f>
        <v>#REF!</v>
      </c>
      <c r="DE131" s="34" t="e">
        <f>IF(#REF!,"AAAAADvf1Gw=",0)</f>
        <v>#REF!</v>
      </c>
      <c r="DF131" s="34" t="e">
        <f>AND(#REF!,"AAAAADvf1G0=")</f>
        <v>#REF!</v>
      </c>
      <c r="DG131" s="34" t="e">
        <f>AND(#REF!,"AAAAADvf1G4=")</f>
        <v>#REF!</v>
      </c>
      <c r="DH131" s="34" t="e">
        <f>AND(#REF!,"AAAAADvf1G8=")</f>
        <v>#REF!</v>
      </c>
      <c r="DI131" s="34" t="e">
        <f>AND(#REF!,"AAAAADvf1HA=")</f>
        <v>#REF!</v>
      </c>
      <c r="DJ131" s="34" t="e">
        <f>AND(#REF!,"AAAAADvf1HE=")</f>
        <v>#REF!</v>
      </c>
      <c r="DK131" s="34" t="e">
        <f>AND(#REF!,"AAAAADvf1HI=")</f>
        <v>#REF!</v>
      </c>
      <c r="DL131" s="34" t="e">
        <f>AND(#REF!,"AAAAADvf1HM=")</f>
        <v>#REF!</v>
      </c>
      <c r="DM131" s="34" t="e">
        <f>AND(#REF!,"AAAAADvf1HQ=")</f>
        <v>#REF!</v>
      </c>
      <c r="DN131" s="34" t="e">
        <f>AND(#REF!,"AAAAADvf1HU=")</f>
        <v>#REF!</v>
      </c>
      <c r="DO131" s="34" t="e">
        <f>AND(#REF!,"AAAAADvf1HY=")</f>
        <v>#REF!</v>
      </c>
      <c r="DP131" s="34" t="e">
        <f>AND(#REF!,"AAAAADvf1Hc=")</f>
        <v>#REF!</v>
      </c>
      <c r="DQ131" s="34" t="e">
        <f>AND(#REF!,"AAAAADvf1Hg=")</f>
        <v>#REF!</v>
      </c>
      <c r="DR131" s="34" t="e">
        <f>AND(#REF!,"AAAAADvf1Hk=")</f>
        <v>#REF!</v>
      </c>
      <c r="DS131" s="34" t="e">
        <f>AND(#REF!,"AAAAADvf1Ho=")</f>
        <v>#REF!</v>
      </c>
      <c r="DT131" s="34" t="e">
        <f>AND(#REF!,"AAAAADvf1Hs=")</f>
        <v>#REF!</v>
      </c>
      <c r="DU131" s="34" t="e">
        <f>AND(#REF!,"AAAAADvf1Hw=")</f>
        <v>#REF!</v>
      </c>
      <c r="DV131" s="34" t="e">
        <f>AND(#REF!,"AAAAADvf1H0=")</f>
        <v>#REF!</v>
      </c>
      <c r="DW131" s="34" t="e">
        <f>AND(#REF!,"AAAAADvf1H4=")</f>
        <v>#REF!</v>
      </c>
      <c r="DX131" s="34" t="e">
        <f>AND(#REF!,"AAAAADvf1H8=")</f>
        <v>#REF!</v>
      </c>
      <c r="DY131" s="34" t="e">
        <f>AND(#REF!,"AAAAADvf1IA=")</f>
        <v>#REF!</v>
      </c>
      <c r="DZ131" s="34" t="e">
        <f>AND(#REF!,"AAAAADvf1IE=")</f>
        <v>#REF!</v>
      </c>
      <c r="EA131" s="34" t="e">
        <f>AND(#REF!,"AAAAADvf1II=")</f>
        <v>#REF!</v>
      </c>
      <c r="EB131" s="34" t="e">
        <f>AND(#REF!,"AAAAADvf1IM=")</f>
        <v>#REF!</v>
      </c>
      <c r="EC131" s="34" t="e">
        <f>AND(#REF!,"AAAAADvf1IQ=")</f>
        <v>#REF!</v>
      </c>
      <c r="ED131" s="34" t="e">
        <f>AND(#REF!,"AAAAADvf1IU=")</f>
        <v>#REF!</v>
      </c>
      <c r="EE131" s="34" t="e">
        <f>AND(#REF!,"AAAAADvf1IY=")</f>
        <v>#REF!</v>
      </c>
      <c r="EF131" s="34" t="e">
        <f>AND(#REF!,"AAAAADvf1Ic=")</f>
        <v>#REF!</v>
      </c>
      <c r="EG131" s="34" t="e">
        <f>AND(#REF!,"AAAAADvf1Ig=")</f>
        <v>#REF!</v>
      </c>
      <c r="EH131" s="34" t="e">
        <f>AND(#REF!,"AAAAADvf1Ik=")</f>
        <v>#REF!</v>
      </c>
      <c r="EI131" s="34" t="e">
        <f>AND(#REF!,"AAAAADvf1Io=")</f>
        <v>#REF!</v>
      </c>
      <c r="EJ131" s="34" t="e">
        <f>AND(#REF!,"AAAAADvf1Is=")</f>
        <v>#REF!</v>
      </c>
      <c r="EK131" s="34" t="e">
        <f>AND(#REF!,"AAAAADvf1Iw=")</f>
        <v>#REF!</v>
      </c>
      <c r="EL131" s="34" t="e">
        <f>AND(#REF!,"AAAAADvf1I0=")</f>
        <v>#REF!</v>
      </c>
      <c r="EM131" s="34" t="e">
        <f>AND(#REF!,"AAAAADvf1I4=")</f>
        <v>#REF!</v>
      </c>
      <c r="EN131" s="34" t="e">
        <f>AND(#REF!,"AAAAADvf1I8=")</f>
        <v>#REF!</v>
      </c>
      <c r="EO131" s="34" t="e">
        <f>AND(#REF!,"AAAAADvf1JA=")</f>
        <v>#REF!</v>
      </c>
      <c r="EP131" s="34" t="e">
        <f>AND(#REF!,"AAAAADvf1JE=")</f>
        <v>#REF!</v>
      </c>
      <c r="EQ131" s="34" t="e">
        <f>AND(#REF!,"AAAAADvf1JI=")</f>
        <v>#REF!</v>
      </c>
      <c r="ER131" s="34" t="e">
        <f>AND(#REF!,"AAAAADvf1JM=")</f>
        <v>#REF!</v>
      </c>
      <c r="ES131" s="34" t="e">
        <f>AND(#REF!,"AAAAADvf1JQ=")</f>
        <v>#REF!</v>
      </c>
      <c r="ET131" s="34" t="e">
        <f>AND(#REF!,"AAAAADvf1JU=")</f>
        <v>#REF!</v>
      </c>
      <c r="EU131" s="34" t="e">
        <f>AND(#REF!,"AAAAADvf1JY=")</f>
        <v>#REF!</v>
      </c>
      <c r="EV131" s="34" t="e">
        <f>IF(#REF!,"AAAAADvf1Jc=",0)</f>
        <v>#REF!</v>
      </c>
      <c r="EW131" s="34" t="e">
        <f>AND(#REF!,"AAAAADvf1Jg=")</f>
        <v>#REF!</v>
      </c>
      <c r="EX131" s="34" t="e">
        <f>AND(#REF!,"AAAAADvf1Jk=")</f>
        <v>#REF!</v>
      </c>
      <c r="EY131" s="34" t="e">
        <f>AND(#REF!,"AAAAADvf1Jo=")</f>
        <v>#REF!</v>
      </c>
      <c r="EZ131" s="34" t="e">
        <f>AND(#REF!,"AAAAADvf1Js=")</f>
        <v>#REF!</v>
      </c>
      <c r="FA131" s="34" t="e">
        <f>AND(#REF!,"AAAAADvf1Jw=")</f>
        <v>#REF!</v>
      </c>
      <c r="FB131" s="34" t="e">
        <f>AND(#REF!,"AAAAADvf1J0=")</f>
        <v>#REF!</v>
      </c>
      <c r="FC131" s="34" t="e">
        <f>AND(#REF!,"AAAAADvf1J4=")</f>
        <v>#REF!</v>
      </c>
      <c r="FD131" s="34" t="e">
        <f>AND(#REF!,"AAAAADvf1J8=")</f>
        <v>#REF!</v>
      </c>
      <c r="FE131" s="34" t="e">
        <f>AND(#REF!,"AAAAADvf1KA=")</f>
        <v>#REF!</v>
      </c>
      <c r="FF131" s="34" t="e">
        <f>AND(#REF!,"AAAAADvf1KE=")</f>
        <v>#REF!</v>
      </c>
      <c r="FG131" s="34" t="e">
        <f>AND(#REF!,"AAAAADvf1KI=")</f>
        <v>#REF!</v>
      </c>
      <c r="FH131" s="34" t="e">
        <f>AND(#REF!,"AAAAADvf1KM=")</f>
        <v>#REF!</v>
      </c>
      <c r="FI131" s="34" t="e">
        <f>AND(#REF!,"AAAAADvf1KQ=")</f>
        <v>#REF!</v>
      </c>
      <c r="FJ131" s="34" t="e">
        <f>AND(#REF!,"AAAAADvf1KU=")</f>
        <v>#REF!</v>
      </c>
      <c r="FK131" s="34" t="e">
        <f>AND(#REF!,"AAAAADvf1KY=")</f>
        <v>#REF!</v>
      </c>
      <c r="FL131" s="34" t="e">
        <f>AND(#REF!,"AAAAADvf1Kc=")</f>
        <v>#REF!</v>
      </c>
      <c r="FM131" s="34" t="e">
        <f>AND(#REF!,"AAAAADvf1Kg=")</f>
        <v>#REF!</v>
      </c>
      <c r="FN131" s="34" t="e">
        <f>AND(#REF!,"AAAAADvf1Kk=")</f>
        <v>#REF!</v>
      </c>
      <c r="FO131" s="34" t="e">
        <f>AND(#REF!,"AAAAADvf1Ko=")</f>
        <v>#REF!</v>
      </c>
      <c r="FP131" s="34" t="e">
        <f>AND(#REF!,"AAAAADvf1Ks=")</f>
        <v>#REF!</v>
      </c>
      <c r="FQ131" s="34" t="e">
        <f>AND(#REF!,"AAAAADvf1Kw=")</f>
        <v>#REF!</v>
      </c>
      <c r="FR131" s="34" t="e">
        <f>AND(#REF!,"AAAAADvf1K0=")</f>
        <v>#REF!</v>
      </c>
      <c r="FS131" s="34" t="e">
        <f>AND(#REF!,"AAAAADvf1K4=")</f>
        <v>#REF!</v>
      </c>
      <c r="FT131" s="34" t="e">
        <f>AND(#REF!,"AAAAADvf1K8=")</f>
        <v>#REF!</v>
      </c>
      <c r="FU131" s="34" t="e">
        <f>AND(#REF!,"AAAAADvf1LA=")</f>
        <v>#REF!</v>
      </c>
      <c r="FV131" s="34" t="e">
        <f>AND(#REF!,"AAAAADvf1LE=")</f>
        <v>#REF!</v>
      </c>
      <c r="FW131" s="34" t="e">
        <f>AND(#REF!,"AAAAADvf1LI=")</f>
        <v>#REF!</v>
      </c>
      <c r="FX131" s="34" t="e">
        <f>AND(#REF!,"AAAAADvf1LM=")</f>
        <v>#REF!</v>
      </c>
      <c r="FY131" s="34" t="e">
        <f>AND(#REF!,"AAAAADvf1LQ=")</f>
        <v>#REF!</v>
      </c>
      <c r="FZ131" s="34" t="e">
        <f>AND(#REF!,"AAAAADvf1LU=")</f>
        <v>#REF!</v>
      </c>
      <c r="GA131" s="34" t="e">
        <f>AND(#REF!,"AAAAADvf1LY=")</f>
        <v>#REF!</v>
      </c>
      <c r="GB131" s="34" t="e">
        <f>AND(#REF!,"AAAAADvf1Lc=")</f>
        <v>#REF!</v>
      </c>
      <c r="GC131" s="34" t="e">
        <f>AND(#REF!,"AAAAADvf1Lg=")</f>
        <v>#REF!</v>
      </c>
      <c r="GD131" s="34" t="e">
        <f>AND(#REF!,"AAAAADvf1Lk=")</f>
        <v>#REF!</v>
      </c>
      <c r="GE131" s="34" t="e">
        <f>AND(#REF!,"AAAAADvf1Lo=")</f>
        <v>#REF!</v>
      </c>
      <c r="GF131" s="34" t="e">
        <f>AND(#REF!,"AAAAADvf1Ls=")</f>
        <v>#REF!</v>
      </c>
      <c r="GG131" s="34" t="e">
        <f>AND(#REF!,"AAAAADvf1Lw=")</f>
        <v>#REF!</v>
      </c>
      <c r="GH131" s="34" t="e">
        <f>AND(#REF!,"AAAAADvf1L0=")</f>
        <v>#REF!</v>
      </c>
      <c r="GI131" s="34" t="e">
        <f>AND(#REF!,"AAAAADvf1L4=")</f>
        <v>#REF!</v>
      </c>
      <c r="GJ131" s="34" t="e">
        <f>AND(#REF!,"AAAAADvf1L8=")</f>
        <v>#REF!</v>
      </c>
      <c r="GK131" s="34" t="e">
        <f>AND(#REF!,"AAAAADvf1MA=")</f>
        <v>#REF!</v>
      </c>
      <c r="GL131" s="34" t="e">
        <f>AND(#REF!,"AAAAADvf1ME=")</f>
        <v>#REF!</v>
      </c>
      <c r="GM131" s="34" t="e">
        <f>IF(#REF!,"AAAAADvf1MI=",0)</f>
        <v>#REF!</v>
      </c>
      <c r="GN131" s="34" t="e">
        <f>AND(#REF!,"AAAAADvf1MM=")</f>
        <v>#REF!</v>
      </c>
      <c r="GO131" s="34" t="e">
        <f>AND(#REF!,"AAAAADvf1MQ=")</f>
        <v>#REF!</v>
      </c>
      <c r="GP131" s="34" t="e">
        <f>AND(#REF!,"AAAAADvf1MU=")</f>
        <v>#REF!</v>
      </c>
      <c r="GQ131" s="34" t="e">
        <f>AND(#REF!,"AAAAADvf1MY=")</f>
        <v>#REF!</v>
      </c>
      <c r="GR131" s="34" t="e">
        <f>AND(#REF!,"AAAAADvf1Mc=")</f>
        <v>#REF!</v>
      </c>
      <c r="GS131" s="34" t="e">
        <f>AND(#REF!,"AAAAADvf1Mg=")</f>
        <v>#REF!</v>
      </c>
      <c r="GT131" s="34" t="e">
        <f>AND(#REF!,"AAAAADvf1Mk=")</f>
        <v>#REF!</v>
      </c>
      <c r="GU131" s="34" t="e">
        <f>AND(#REF!,"AAAAADvf1Mo=")</f>
        <v>#REF!</v>
      </c>
      <c r="GV131" s="34" t="e">
        <f>AND(#REF!,"AAAAADvf1Ms=")</f>
        <v>#REF!</v>
      </c>
      <c r="GW131" s="34" t="e">
        <f>AND(#REF!,"AAAAADvf1Mw=")</f>
        <v>#REF!</v>
      </c>
      <c r="GX131" s="34" t="e">
        <f>AND(#REF!,"AAAAADvf1M0=")</f>
        <v>#REF!</v>
      </c>
      <c r="GY131" s="34" t="e">
        <f>AND(#REF!,"AAAAADvf1M4=")</f>
        <v>#REF!</v>
      </c>
      <c r="GZ131" s="34" t="e">
        <f>AND(#REF!,"AAAAADvf1M8=")</f>
        <v>#REF!</v>
      </c>
      <c r="HA131" s="34" t="e">
        <f>AND(#REF!,"AAAAADvf1NA=")</f>
        <v>#REF!</v>
      </c>
      <c r="HB131" s="34" t="e">
        <f>AND(#REF!,"AAAAADvf1NE=")</f>
        <v>#REF!</v>
      </c>
      <c r="HC131" s="34" t="e">
        <f>AND(#REF!,"AAAAADvf1NI=")</f>
        <v>#REF!</v>
      </c>
      <c r="HD131" s="34" t="e">
        <f>AND(#REF!,"AAAAADvf1NM=")</f>
        <v>#REF!</v>
      </c>
      <c r="HE131" s="34" t="e">
        <f>AND(#REF!,"AAAAADvf1NQ=")</f>
        <v>#REF!</v>
      </c>
      <c r="HF131" s="34" t="e">
        <f>AND(#REF!,"AAAAADvf1NU=")</f>
        <v>#REF!</v>
      </c>
      <c r="HG131" s="34" t="e">
        <f>AND(#REF!,"AAAAADvf1NY=")</f>
        <v>#REF!</v>
      </c>
      <c r="HH131" s="34" t="e">
        <f>AND(#REF!,"AAAAADvf1Nc=")</f>
        <v>#REF!</v>
      </c>
      <c r="HI131" s="34" t="e">
        <f>AND(#REF!,"AAAAADvf1Ng=")</f>
        <v>#REF!</v>
      </c>
      <c r="HJ131" s="34" t="e">
        <f>AND(#REF!,"AAAAADvf1Nk=")</f>
        <v>#REF!</v>
      </c>
      <c r="HK131" s="34" t="e">
        <f>AND(#REF!,"AAAAADvf1No=")</f>
        <v>#REF!</v>
      </c>
      <c r="HL131" s="34" t="e">
        <f>AND(#REF!,"AAAAADvf1Ns=")</f>
        <v>#REF!</v>
      </c>
      <c r="HM131" s="34" t="e">
        <f>AND(#REF!,"AAAAADvf1Nw=")</f>
        <v>#REF!</v>
      </c>
      <c r="HN131" s="34" t="e">
        <f>AND(#REF!,"AAAAADvf1N0=")</f>
        <v>#REF!</v>
      </c>
      <c r="HO131" s="34" t="e">
        <f>AND(#REF!,"AAAAADvf1N4=")</f>
        <v>#REF!</v>
      </c>
      <c r="HP131" s="34" t="e">
        <f>AND(#REF!,"AAAAADvf1N8=")</f>
        <v>#REF!</v>
      </c>
      <c r="HQ131" s="34" t="e">
        <f>AND(#REF!,"AAAAADvf1OA=")</f>
        <v>#REF!</v>
      </c>
      <c r="HR131" s="34" t="e">
        <f>AND(#REF!,"AAAAADvf1OE=")</f>
        <v>#REF!</v>
      </c>
      <c r="HS131" s="34" t="e">
        <f>AND(#REF!,"AAAAADvf1OI=")</f>
        <v>#REF!</v>
      </c>
      <c r="HT131" s="34" t="e">
        <f>AND(#REF!,"AAAAADvf1OM=")</f>
        <v>#REF!</v>
      </c>
      <c r="HU131" s="34" t="e">
        <f>AND(#REF!,"AAAAADvf1OQ=")</f>
        <v>#REF!</v>
      </c>
      <c r="HV131" s="34" t="e">
        <f>AND(#REF!,"AAAAADvf1OU=")</f>
        <v>#REF!</v>
      </c>
      <c r="HW131" s="34" t="e">
        <f>AND(#REF!,"AAAAADvf1OY=")</f>
        <v>#REF!</v>
      </c>
      <c r="HX131" s="34" t="e">
        <f>AND(#REF!,"AAAAADvf1Oc=")</f>
        <v>#REF!</v>
      </c>
      <c r="HY131" s="34" t="e">
        <f>AND(#REF!,"AAAAADvf1Og=")</f>
        <v>#REF!</v>
      </c>
      <c r="HZ131" s="34" t="e">
        <f>AND(#REF!,"AAAAADvf1Ok=")</f>
        <v>#REF!</v>
      </c>
      <c r="IA131" s="34" t="e">
        <f>AND(#REF!,"AAAAADvf1Oo=")</f>
        <v>#REF!</v>
      </c>
      <c r="IB131" s="34" t="e">
        <f>AND(#REF!,"AAAAADvf1Os=")</f>
        <v>#REF!</v>
      </c>
      <c r="IC131" s="34" t="e">
        <f>AND(#REF!,"AAAAADvf1Ow=")</f>
        <v>#REF!</v>
      </c>
      <c r="ID131" s="34" t="e">
        <f>IF(#REF!,"AAAAADvf1O0=",0)</f>
        <v>#REF!</v>
      </c>
      <c r="IE131" s="34" t="e">
        <f>AND(#REF!,"AAAAADvf1O4=")</f>
        <v>#REF!</v>
      </c>
      <c r="IF131" s="34" t="e">
        <f>AND(#REF!,"AAAAADvf1O8=")</f>
        <v>#REF!</v>
      </c>
      <c r="IG131" s="34" t="e">
        <f>AND(#REF!,"AAAAADvf1PA=")</f>
        <v>#REF!</v>
      </c>
      <c r="IH131" s="34" t="e">
        <f>AND(#REF!,"AAAAADvf1PE=")</f>
        <v>#REF!</v>
      </c>
      <c r="II131" s="34" t="e">
        <f>AND(#REF!,"AAAAADvf1PI=")</f>
        <v>#REF!</v>
      </c>
      <c r="IJ131" s="34" t="e">
        <f>AND(#REF!,"AAAAADvf1PM=")</f>
        <v>#REF!</v>
      </c>
      <c r="IK131" s="34" t="e">
        <f>AND(#REF!,"AAAAADvf1PQ=")</f>
        <v>#REF!</v>
      </c>
      <c r="IL131" s="34" t="e">
        <f>AND(#REF!,"AAAAADvf1PU=")</f>
        <v>#REF!</v>
      </c>
      <c r="IM131" s="34" t="e">
        <f>AND(#REF!,"AAAAADvf1PY=")</f>
        <v>#REF!</v>
      </c>
      <c r="IN131" s="34" t="e">
        <f>AND(#REF!,"AAAAADvf1Pc=")</f>
        <v>#REF!</v>
      </c>
      <c r="IO131" s="34" t="e">
        <f>AND(#REF!,"AAAAADvf1Pg=")</f>
        <v>#REF!</v>
      </c>
      <c r="IP131" s="34" t="e">
        <f>AND(#REF!,"AAAAADvf1Pk=")</f>
        <v>#REF!</v>
      </c>
      <c r="IQ131" s="34" t="e">
        <f>AND(#REF!,"AAAAADvf1Po=")</f>
        <v>#REF!</v>
      </c>
      <c r="IR131" s="34" t="e">
        <f>AND(#REF!,"AAAAADvf1Ps=")</f>
        <v>#REF!</v>
      </c>
      <c r="IS131" s="34" t="e">
        <f>AND(#REF!,"AAAAADvf1Pw=")</f>
        <v>#REF!</v>
      </c>
      <c r="IT131" s="34" t="e">
        <f>AND(#REF!,"AAAAADvf1P0=")</f>
        <v>#REF!</v>
      </c>
      <c r="IU131" s="34" t="e">
        <f>AND(#REF!,"AAAAADvf1P4=")</f>
        <v>#REF!</v>
      </c>
      <c r="IV131" s="34" t="e">
        <f>AND(#REF!,"AAAAADvf1P8=")</f>
        <v>#REF!</v>
      </c>
    </row>
    <row r="132" spans="1:256" ht="12.75" customHeight="1" x14ac:dyDescent="0.2">
      <c r="A132" s="34" t="e">
        <f>AND(#REF!,"AAAAADv7PgA=")</f>
        <v>#REF!</v>
      </c>
      <c r="B132" s="34" t="e">
        <f>AND(#REF!,"AAAAADv7PgE=")</f>
        <v>#REF!</v>
      </c>
      <c r="C132" s="34" t="e">
        <f>AND(#REF!,"AAAAADv7PgI=")</f>
        <v>#REF!</v>
      </c>
      <c r="D132" s="34" t="e">
        <f>AND(#REF!,"AAAAADv7PgM=")</f>
        <v>#REF!</v>
      </c>
      <c r="E132" s="34" t="e">
        <f>AND(#REF!,"AAAAADv7PgQ=")</f>
        <v>#REF!</v>
      </c>
      <c r="F132" s="34" t="e">
        <f>AND(#REF!,"AAAAADv7PgU=")</f>
        <v>#REF!</v>
      </c>
      <c r="G132" s="34" t="e">
        <f>AND(#REF!,"AAAAADv7PgY=")</f>
        <v>#REF!</v>
      </c>
      <c r="H132" s="34" t="e">
        <f>AND(#REF!,"AAAAADv7Pgc=")</f>
        <v>#REF!</v>
      </c>
      <c r="I132" s="34" t="e">
        <f>AND(#REF!,"AAAAADv7Pgg=")</f>
        <v>#REF!</v>
      </c>
      <c r="J132" s="34" t="e">
        <f>AND(#REF!,"AAAAADv7Pgk=")</f>
        <v>#REF!</v>
      </c>
      <c r="K132" s="34" t="e">
        <f>AND(#REF!,"AAAAADv7Pgo=")</f>
        <v>#REF!</v>
      </c>
      <c r="L132" s="34" t="e">
        <f>AND(#REF!,"AAAAADv7Pgs=")</f>
        <v>#REF!</v>
      </c>
      <c r="M132" s="34" t="e">
        <f>AND(#REF!,"AAAAADv7Pgw=")</f>
        <v>#REF!</v>
      </c>
      <c r="N132" s="34" t="e">
        <f>AND(#REF!,"AAAAADv7Pg0=")</f>
        <v>#REF!</v>
      </c>
      <c r="O132" s="34" t="e">
        <f>AND(#REF!,"AAAAADv7Pg4=")</f>
        <v>#REF!</v>
      </c>
      <c r="P132" s="34" t="e">
        <f>AND(#REF!,"AAAAADv7Pg8=")</f>
        <v>#REF!</v>
      </c>
      <c r="Q132" s="34" t="e">
        <f>AND(#REF!,"AAAAADv7PhA=")</f>
        <v>#REF!</v>
      </c>
      <c r="R132" s="34" t="e">
        <f>AND(#REF!,"AAAAADv7PhE=")</f>
        <v>#REF!</v>
      </c>
      <c r="S132" s="34" t="e">
        <f>AND(#REF!,"AAAAADv7PhI=")</f>
        <v>#REF!</v>
      </c>
      <c r="T132" s="34" t="e">
        <f>AND(#REF!,"AAAAADv7PhM=")</f>
        <v>#REF!</v>
      </c>
      <c r="U132" s="34" t="e">
        <f>AND(#REF!,"AAAAADv7PhQ=")</f>
        <v>#REF!</v>
      </c>
      <c r="V132" s="34" t="e">
        <f>AND(#REF!,"AAAAADv7PhU=")</f>
        <v>#REF!</v>
      </c>
      <c r="W132" s="34" t="e">
        <f>AND(#REF!,"AAAAADv7PhY=")</f>
        <v>#REF!</v>
      </c>
      <c r="X132" s="34" t="e">
        <f>AND(#REF!,"AAAAADv7Phc=")</f>
        <v>#REF!</v>
      </c>
      <c r="Y132" s="34" t="e">
        <f>IF(#REF!,"AAAAADv7Phg=",0)</f>
        <v>#REF!</v>
      </c>
      <c r="Z132" s="34" t="e">
        <f>AND(#REF!,"AAAAADv7Phk=")</f>
        <v>#REF!</v>
      </c>
      <c r="AA132" s="34" t="e">
        <f>AND(#REF!,"AAAAADv7Pho=")</f>
        <v>#REF!</v>
      </c>
      <c r="AB132" s="34" t="e">
        <f>AND(#REF!,"AAAAADv7Phs=")</f>
        <v>#REF!</v>
      </c>
      <c r="AC132" s="34" t="e">
        <f>AND(#REF!,"AAAAADv7Phw=")</f>
        <v>#REF!</v>
      </c>
      <c r="AD132" s="34" t="e">
        <f>AND(#REF!,"AAAAADv7Ph0=")</f>
        <v>#REF!</v>
      </c>
      <c r="AE132" s="34" t="e">
        <f>AND(#REF!,"AAAAADv7Ph4=")</f>
        <v>#REF!</v>
      </c>
      <c r="AF132" s="34" t="e">
        <f>AND(#REF!,"AAAAADv7Ph8=")</f>
        <v>#REF!</v>
      </c>
      <c r="AG132" s="34" t="e">
        <f>AND(#REF!,"AAAAADv7PiA=")</f>
        <v>#REF!</v>
      </c>
      <c r="AH132" s="34" t="e">
        <f>AND(#REF!,"AAAAADv7PiE=")</f>
        <v>#REF!</v>
      </c>
      <c r="AI132" s="34" t="e">
        <f>AND(#REF!,"AAAAADv7PiI=")</f>
        <v>#REF!</v>
      </c>
      <c r="AJ132" s="34" t="e">
        <f>AND(#REF!,"AAAAADv7PiM=")</f>
        <v>#REF!</v>
      </c>
      <c r="AK132" s="34" t="e">
        <f>AND(#REF!,"AAAAADv7PiQ=")</f>
        <v>#REF!</v>
      </c>
      <c r="AL132" s="34" t="e">
        <f>AND(#REF!,"AAAAADv7PiU=")</f>
        <v>#REF!</v>
      </c>
      <c r="AM132" s="34" t="e">
        <f>AND(#REF!,"AAAAADv7PiY=")</f>
        <v>#REF!</v>
      </c>
      <c r="AN132" s="34" t="e">
        <f>AND(#REF!,"AAAAADv7Pic=")</f>
        <v>#REF!</v>
      </c>
      <c r="AO132" s="34" t="e">
        <f>AND(#REF!,"AAAAADv7Pig=")</f>
        <v>#REF!</v>
      </c>
      <c r="AP132" s="34" t="e">
        <f>AND(#REF!,"AAAAADv7Pik=")</f>
        <v>#REF!</v>
      </c>
      <c r="AQ132" s="34" t="e">
        <f>AND(#REF!,"AAAAADv7Pio=")</f>
        <v>#REF!</v>
      </c>
      <c r="AR132" s="34" t="e">
        <f>AND(#REF!,"AAAAADv7Pis=")</f>
        <v>#REF!</v>
      </c>
      <c r="AS132" s="34" t="e">
        <f>AND(#REF!,"AAAAADv7Piw=")</f>
        <v>#REF!</v>
      </c>
      <c r="AT132" s="34" t="e">
        <f>AND(#REF!,"AAAAADv7Pi0=")</f>
        <v>#REF!</v>
      </c>
      <c r="AU132" s="34" t="e">
        <f>AND(#REF!,"AAAAADv7Pi4=")</f>
        <v>#REF!</v>
      </c>
      <c r="AV132" s="34" t="e">
        <f>AND(#REF!,"AAAAADv7Pi8=")</f>
        <v>#REF!</v>
      </c>
      <c r="AW132" s="34" t="e">
        <f>AND(#REF!,"AAAAADv7PjA=")</f>
        <v>#REF!</v>
      </c>
      <c r="AX132" s="34" t="e">
        <f>AND(#REF!,"AAAAADv7PjE=")</f>
        <v>#REF!</v>
      </c>
      <c r="AY132" s="34" t="e">
        <f>AND(#REF!,"AAAAADv7PjI=")</f>
        <v>#REF!</v>
      </c>
      <c r="AZ132" s="34" t="e">
        <f>AND(#REF!,"AAAAADv7PjM=")</f>
        <v>#REF!</v>
      </c>
      <c r="BA132" s="34" t="e">
        <f>AND(#REF!,"AAAAADv7PjQ=")</f>
        <v>#REF!</v>
      </c>
      <c r="BB132" s="34" t="e">
        <f>AND(#REF!,"AAAAADv7PjU=")</f>
        <v>#REF!</v>
      </c>
      <c r="BC132" s="34" t="e">
        <f>AND(#REF!,"AAAAADv7PjY=")</f>
        <v>#REF!</v>
      </c>
      <c r="BD132" s="34" t="e">
        <f>AND(#REF!,"AAAAADv7Pjc=")</f>
        <v>#REF!</v>
      </c>
      <c r="BE132" s="34" t="e">
        <f>AND(#REF!,"AAAAADv7Pjg=")</f>
        <v>#REF!</v>
      </c>
      <c r="BF132" s="34" t="e">
        <f>AND(#REF!,"AAAAADv7Pjk=")</f>
        <v>#REF!</v>
      </c>
      <c r="BG132" s="34" t="e">
        <f>AND(#REF!,"AAAAADv7Pjo=")</f>
        <v>#REF!</v>
      </c>
      <c r="BH132" s="34" t="e">
        <f>AND(#REF!,"AAAAADv7Pjs=")</f>
        <v>#REF!</v>
      </c>
      <c r="BI132" s="34" t="e">
        <f>AND(#REF!,"AAAAADv7Pjw=")</f>
        <v>#REF!</v>
      </c>
      <c r="BJ132" s="34" t="e">
        <f>AND(#REF!,"AAAAADv7Pj0=")</f>
        <v>#REF!</v>
      </c>
      <c r="BK132" s="34" t="e">
        <f>AND(#REF!,"AAAAADv7Pj4=")</f>
        <v>#REF!</v>
      </c>
      <c r="BL132" s="34" t="e">
        <f>AND(#REF!,"AAAAADv7Pj8=")</f>
        <v>#REF!</v>
      </c>
      <c r="BM132" s="34" t="e">
        <f>AND(#REF!,"AAAAADv7PkA=")</f>
        <v>#REF!</v>
      </c>
      <c r="BN132" s="34" t="e">
        <f>AND(#REF!,"AAAAADv7PkE=")</f>
        <v>#REF!</v>
      </c>
      <c r="BO132" s="34" t="e">
        <f>AND(#REF!,"AAAAADv7PkI=")</f>
        <v>#REF!</v>
      </c>
      <c r="BP132" s="34" t="e">
        <f>IF(#REF!,"AAAAADv7PkM=",0)</f>
        <v>#REF!</v>
      </c>
      <c r="BQ132" s="34" t="e">
        <f>AND(#REF!,"AAAAADv7PkQ=")</f>
        <v>#REF!</v>
      </c>
      <c r="BR132" s="34" t="e">
        <f>AND(#REF!,"AAAAADv7PkU=")</f>
        <v>#REF!</v>
      </c>
      <c r="BS132" s="34" t="e">
        <f>AND(#REF!,"AAAAADv7PkY=")</f>
        <v>#REF!</v>
      </c>
      <c r="BT132" s="34" t="e">
        <f>AND(#REF!,"AAAAADv7Pkc=")</f>
        <v>#REF!</v>
      </c>
      <c r="BU132" s="34" t="e">
        <f>AND(#REF!,"AAAAADv7Pkg=")</f>
        <v>#REF!</v>
      </c>
      <c r="BV132" s="34" t="e">
        <f>AND(#REF!,"AAAAADv7Pkk=")</f>
        <v>#REF!</v>
      </c>
      <c r="BW132" s="34" t="e">
        <f>AND(#REF!,"AAAAADv7Pko=")</f>
        <v>#REF!</v>
      </c>
      <c r="BX132" s="34" t="e">
        <f>AND(#REF!,"AAAAADv7Pks=")</f>
        <v>#REF!</v>
      </c>
      <c r="BY132" s="34" t="e">
        <f>AND(#REF!,"AAAAADv7Pkw=")</f>
        <v>#REF!</v>
      </c>
      <c r="BZ132" s="34" t="e">
        <f>AND(#REF!,"AAAAADv7Pk0=")</f>
        <v>#REF!</v>
      </c>
      <c r="CA132" s="34" t="e">
        <f>AND(#REF!,"AAAAADv7Pk4=")</f>
        <v>#REF!</v>
      </c>
      <c r="CB132" s="34" t="e">
        <f>AND(#REF!,"AAAAADv7Pk8=")</f>
        <v>#REF!</v>
      </c>
      <c r="CC132" s="34" t="e">
        <f>AND(#REF!,"AAAAADv7PlA=")</f>
        <v>#REF!</v>
      </c>
      <c r="CD132" s="34" t="e">
        <f>AND(#REF!,"AAAAADv7PlE=")</f>
        <v>#REF!</v>
      </c>
      <c r="CE132" s="34" t="e">
        <f>AND(#REF!,"AAAAADv7PlI=")</f>
        <v>#REF!</v>
      </c>
      <c r="CF132" s="34" t="e">
        <f>AND(#REF!,"AAAAADv7PlM=")</f>
        <v>#REF!</v>
      </c>
      <c r="CG132" s="34" t="e">
        <f>AND(#REF!,"AAAAADv7PlQ=")</f>
        <v>#REF!</v>
      </c>
      <c r="CH132" s="34" t="e">
        <f>AND(#REF!,"AAAAADv7PlU=")</f>
        <v>#REF!</v>
      </c>
      <c r="CI132" s="34" t="e">
        <f>AND(#REF!,"AAAAADv7PlY=")</f>
        <v>#REF!</v>
      </c>
      <c r="CJ132" s="34" t="e">
        <f>AND(#REF!,"AAAAADv7Plc=")</f>
        <v>#REF!</v>
      </c>
      <c r="CK132" s="34" t="e">
        <f>AND(#REF!,"AAAAADv7Plg=")</f>
        <v>#REF!</v>
      </c>
      <c r="CL132" s="34" t="e">
        <f>AND(#REF!,"AAAAADv7Plk=")</f>
        <v>#REF!</v>
      </c>
      <c r="CM132" s="34" t="e">
        <f>AND(#REF!,"AAAAADv7Plo=")</f>
        <v>#REF!</v>
      </c>
      <c r="CN132" s="34" t="e">
        <f>AND(#REF!,"AAAAADv7Pls=")</f>
        <v>#REF!</v>
      </c>
      <c r="CO132" s="34" t="e">
        <f>AND(#REF!,"AAAAADv7Plw=")</f>
        <v>#REF!</v>
      </c>
      <c r="CP132" s="34" t="e">
        <f>AND(#REF!,"AAAAADv7Pl0=")</f>
        <v>#REF!</v>
      </c>
      <c r="CQ132" s="34" t="e">
        <f>AND(#REF!,"AAAAADv7Pl4=")</f>
        <v>#REF!</v>
      </c>
      <c r="CR132" s="34" t="e">
        <f>AND(#REF!,"AAAAADv7Pl8=")</f>
        <v>#REF!</v>
      </c>
      <c r="CS132" s="34" t="e">
        <f>AND(#REF!,"AAAAADv7PmA=")</f>
        <v>#REF!</v>
      </c>
      <c r="CT132" s="34" t="e">
        <f>AND(#REF!,"AAAAADv7PmE=")</f>
        <v>#REF!</v>
      </c>
      <c r="CU132" s="34" t="e">
        <f>AND(#REF!,"AAAAADv7PmI=")</f>
        <v>#REF!</v>
      </c>
      <c r="CV132" s="34" t="e">
        <f>AND(#REF!,"AAAAADv7PmM=")</f>
        <v>#REF!</v>
      </c>
      <c r="CW132" s="34" t="e">
        <f>AND(#REF!,"AAAAADv7PmQ=")</f>
        <v>#REF!</v>
      </c>
      <c r="CX132" s="34" t="e">
        <f>AND(#REF!,"AAAAADv7PmU=")</f>
        <v>#REF!</v>
      </c>
      <c r="CY132" s="34" t="e">
        <f>AND(#REF!,"AAAAADv7PmY=")</f>
        <v>#REF!</v>
      </c>
      <c r="CZ132" s="34" t="e">
        <f>AND(#REF!,"AAAAADv7Pmc=")</f>
        <v>#REF!</v>
      </c>
      <c r="DA132" s="34" t="e">
        <f>AND(#REF!,"AAAAADv7Pmg=")</f>
        <v>#REF!</v>
      </c>
      <c r="DB132" s="34" t="e">
        <f>AND(#REF!,"AAAAADv7Pmk=")</f>
        <v>#REF!</v>
      </c>
      <c r="DC132" s="34" t="e">
        <f>AND(#REF!,"AAAAADv7Pmo=")</f>
        <v>#REF!</v>
      </c>
      <c r="DD132" s="34" t="e">
        <f>AND(#REF!,"AAAAADv7Pms=")</f>
        <v>#REF!</v>
      </c>
      <c r="DE132" s="34" t="e">
        <f>AND(#REF!,"AAAAADv7Pmw=")</f>
        <v>#REF!</v>
      </c>
      <c r="DF132" s="34" t="e">
        <f>AND(#REF!,"AAAAADv7Pm0=")</f>
        <v>#REF!</v>
      </c>
      <c r="DG132" s="34" t="e">
        <f>IF(#REF!,"AAAAADv7Pm4=",0)</f>
        <v>#REF!</v>
      </c>
      <c r="DH132" s="34" t="e">
        <f>AND(#REF!,"AAAAADv7Pm8=")</f>
        <v>#REF!</v>
      </c>
      <c r="DI132" s="34" t="e">
        <f>AND(#REF!,"AAAAADv7PnA=")</f>
        <v>#REF!</v>
      </c>
      <c r="DJ132" s="34" t="e">
        <f>AND(#REF!,"AAAAADv7PnE=")</f>
        <v>#REF!</v>
      </c>
      <c r="DK132" s="34" t="e">
        <f>AND(#REF!,"AAAAADv7PnI=")</f>
        <v>#REF!</v>
      </c>
      <c r="DL132" s="34" t="e">
        <f>AND(#REF!,"AAAAADv7PnM=")</f>
        <v>#REF!</v>
      </c>
      <c r="DM132" s="34" t="e">
        <f>AND(#REF!,"AAAAADv7PnQ=")</f>
        <v>#REF!</v>
      </c>
      <c r="DN132" s="34" t="e">
        <f>AND(#REF!,"AAAAADv7PnU=")</f>
        <v>#REF!</v>
      </c>
      <c r="DO132" s="34" t="e">
        <f>AND(#REF!,"AAAAADv7PnY=")</f>
        <v>#REF!</v>
      </c>
      <c r="DP132" s="34" t="e">
        <f>AND(#REF!,"AAAAADv7Pnc=")</f>
        <v>#REF!</v>
      </c>
      <c r="DQ132" s="34" t="e">
        <f>AND(#REF!,"AAAAADv7Png=")</f>
        <v>#REF!</v>
      </c>
      <c r="DR132" s="34" t="e">
        <f>AND(#REF!,"AAAAADv7Pnk=")</f>
        <v>#REF!</v>
      </c>
      <c r="DS132" s="34" t="e">
        <f>AND(#REF!,"AAAAADv7Pno=")</f>
        <v>#REF!</v>
      </c>
      <c r="DT132" s="34" t="e">
        <f>AND(#REF!,"AAAAADv7Pns=")</f>
        <v>#REF!</v>
      </c>
      <c r="DU132" s="34" t="e">
        <f>AND(#REF!,"AAAAADv7Pnw=")</f>
        <v>#REF!</v>
      </c>
      <c r="DV132" s="34" t="e">
        <f>AND(#REF!,"AAAAADv7Pn0=")</f>
        <v>#REF!</v>
      </c>
      <c r="DW132" s="34" t="e">
        <f>AND(#REF!,"AAAAADv7Pn4=")</f>
        <v>#REF!</v>
      </c>
      <c r="DX132" s="34" t="e">
        <f>AND(#REF!,"AAAAADv7Pn8=")</f>
        <v>#REF!</v>
      </c>
      <c r="DY132" s="34" t="e">
        <f>AND(#REF!,"AAAAADv7PoA=")</f>
        <v>#REF!</v>
      </c>
      <c r="DZ132" s="34" t="e">
        <f>AND(#REF!,"AAAAADv7PoE=")</f>
        <v>#REF!</v>
      </c>
      <c r="EA132" s="34" t="e">
        <f>AND(#REF!,"AAAAADv7PoI=")</f>
        <v>#REF!</v>
      </c>
      <c r="EB132" s="34" t="e">
        <f>AND(#REF!,"AAAAADv7PoM=")</f>
        <v>#REF!</v>
      </c>
      <c r="EC132" s="34" t="e">
        <f>AND(#REF!,"AAAAADv7PoQ=")</f>
        <v>#REF!</v>
      </c>
      <c r="ED132" s="34" t="e">
        <f>AND(#REF!,"AAAAADv7PoU=")</f>
        <v>#REF!</v>
      </c>
      <c r="EE132" s="34" t="e">
        <f>AND(#REF!,"AAAAADv7PoY=")</f>
        <v>#REF!</v>
      </c>
      <c r="EF132" s="34" t="e">
        <f>AND(#REF!,"AAAAADv7Poc=")</f>
        <v>#REF!</v>
      </c>
      <c r="EG132" s="34" t="e">
        <f>AND(#REF!,"AAAAADv7Pog=")</f>
        <v>#REF!</v>
      </c>
      <c r="EH132" s="34" t="e">
        <f>AND(#REF!,"AAAAADv7Pok=")</f>
        <v>#REF!</v>
      </c>
      <c r="EI132" s="34" t="e">
        <f>AND(#REF!,"AAAAADv7Poo=")</f>
        <v>#REF!</v>
      </c>
      <c r="EJ132" s="34" t="e">
        <f>AND(#REF!,"AAAAADv7Pos=")</f>
        <v>#REF!</v>
      </c>
      <c r="EK132" s="34" t="e">
        <f>AND(#REF!,"AAAAADv7Pow=")</f>
        <v>#REF!</v>
      </c>
      <c r="EL132" s="34" t="e">
        <f>AND(#REF!,"AAAAADv7Po0=")</f>
        <v>#REF!</v>
      </c>
      <c r="EM132" s="34" t="e">
        <f>AND(#REF!,"AAAAADv7Po4=")</f>
        <v>#REF!</v>
      </c>
      <c r="EN132" s="34" t="e">
        <f>AND(#REF!,"AAAAADv7Po8=")</f>
        <v>#REF!</v>
      </c>
      <c r="EO132" s="34" t="e">
        <f>AND(#REF!,"AAAAADv7PpA=")</f>
        <v>#REF!</v>
      </c>
      <c r="EP132" s="34" t="e">
        <f>AND(#REF!,"AAAAADv7PpE=")</f>
        <v>#REF!</v>
      </c>
      <c r="EQ132" s="34" t="e">
        <f>AND(#REF!,"AAAAADv7PpI=")</f>
        <v>#REF!</v>
      </c>
      <c r="ER132" s="34" t="e">
        <f>AND(#REF!,"AAAAADv7PpM=")</f>
        <v>#REF!</v>
      </c>
      <c r="ES132" s="34" t="e">
        <f>AND(#REF!,"AAAAADv7PpQ=")</f>
        <v>#REF!</v>
      </c>
      <c r="ET132" s="34" t="e">
        <f>AND(#REF!,"AAAAADv7PpU=")</f>
        <v>#REF!</v>
      </c>
      <c r="EU132" s="34" t="e">
        <f>AND(#REF!,"AAAAADv7PpY=")</f>
        <v>#REF!</v>
      </c>
      <c r="EV132" s="34" t="e">
        <f>AND(#REF!,"AAAAADv7Ppc=")</f>
        <v>#REF!</v>
      </c>
      <c r="EW132" s="34" t="e">
        <f>AND(#REF!,"AAAAADv7Ppg=")</f>
        <v>#REF!</v>
      </c>
      <c r="EX132" s="34" t="e">
        <f>IF(#REF!,"AAAAADv7Ppk=",0)</f>
        <v>#REF!</v>
      </c>
      <c r="EY132" s="34" t="e">
        <f>AND(#REF!,"AAAAADv7Ppo=")</f>
        <v>#REF!</v>
      </c>
      <c r="EZ132" s="34" t="e">
        <f>AND(#REF!,"AAAAADv7Pps=")</f>
        <v>#REF!</v>
      </c>
      <c r="FA132" s="34" t="e">
        <f>AND(#REF!,"AAAAADv7Ppw=")</f>
        <v>#REF!</v>
      </c>
      <c r="FB132" s="34" t="e">
        <f>AND(#REF!,"AAAAADv7Pp0=")</f>
        <v>#REF!</v>
      </c>
      <c r="FC132" s="34" t="e">
        <f>AND(#REF!,"AAAAADv7Pp4=")</f>
        <v>#REF!</v>
      </c>
      <c r="FD132" s="34" t="e">
        <f>AND(#REF!,"AAAAADv7Pp8=")</f>
        <v>#REF!</v>
      </c>
      <c r="FE132" s="34" t="e">
        <f>AND(#REF!,"AAAAADv7PqA=")</f>
        <v>#REF!</v>
      </c>
      <c r="FF132" s="34" t="e">
        <f>AND(#REF!,"AAAAADv7PqE=")</f>
        <v>#REF!</v>
      </c>
      <c r="FG132" s="34" t="e">
        <f>AND(#REF!,"AAAAADv7PqI=")</f>
        <v>#REF!</v>
      </c>
      <c r="FH132" s="34" t="e">
        <f>AND(#REF!,"AAAAADv7PqM=")</f>
        <v>#REF!</v>
      </c>
      <c r="FI132" s="34" t="e">
        <f>AND(#REF!,"AAAAADv7PqQ=")</f>
        <v>#REF!</v>
      </c>
      <c r="FJ132" s="34" t="e">
        <f>AND(#REF!,"AAAAADv7PqU=")</f>
        <v>#REF!</v>
      </c>
      <c r="FK132" s="34" t="e">
        <f>AND(#REF!,"AAAAADv7PqY=")</f>
        <v>#REF!</v>
      </c>
      <c r="FL132" s="34" t="e">
        <f>AND(#REF!,"AAAAADv7Pqc=")</f>
        <v>#REF!</v>
      </c>
      <c r="FM132" s="34" t="e">
        <f>AND(#REF!,"AAAAADv7Pqg=")</f>
        <v>#REF!</v>
      </c>
      <c r="FN132" s="34" t="e">
        <f>AND(#REF!,"AAAAADv7Pqk=")</f>
        <v>#REF!</v>
      </c>
      <c r="FO132" s="34" t="e">
        <f>AND(#REF!,"AAAAADv7Pqo=")</f>
        <v>#REF!</v>
      </c>
      <c r="FP132" s="34" t="e">
        <f>AND(#REF!,"AAAAADv7Pqs=")</f>
        <v>#REF!</v>
      </c>
      <c r="FQ132" s="34" t="e">
        <f>AND(#REF!,"AAAAADv7Pqw=")</f>
        <v>#REF!</v>
      </c>
      <c r="FR132" s="34" t="e">
        <f>AND(#REF!,"AAAAADv7Pq0=")</f>
        <v>#REF!</v>
      </c>
      <c r="FS132" s="34" t="e">
        <f>AND(#REF!,"AAAAADv7Pq4=")</f>
        <v>#REF!</v>
      </c>
      <c r="FT132" s="34" t="e">
        <f>AND(#REF!,"AAAAADv7Pq8=")</f>
        <v>#REF!</v>
      </c>
      <c r="FU132" s="34" t="e">
        <f>AND(#REF!,"AAAAADv7PrA=")</f>
        <v>#REF!</v>
      </c>
      <c r="FV132" s="34" t="e">
        <f>AND(#REF!,"AAAAADv7PrE=")</f>
        <v>#REF!</v>
      </c>
      <c r="FW132" s="34" t="e">
        <f>AND(#REF!,"AAAAADv7PrI=")</f>
        <v>#REF!</v>
      </c>
      <c r="FX132" s="34" t="e">
        <f>AND(#REF!,"AAAAADv7PrM=")</f>
        <v>#REF!</v>
      </c>
      <c r="FY132" s="34" t="e">
        <f>AND(#REF!,"AAAAADv7PrQ=")</f>
        <v>#REF!</v>
      </c>
      <c r="FZ132" s="34" t="e">
        <f>AND(#REF!,"AAAAADv7PrU=")</f>
        <v>#REF!</v>
      </c>
      <c r="GA132" s="34" t="e">
        <f>AND(#REF!,"AAAAADv7PrY=")</f>
        <v>#REF!</v>
      </c>
      <c r="GB132" s="34" t="e">
        <f>AND(#REF!,"AAAAADv7Prc=")</f>
        <v>#REF!</v>
      </c>
      <c r="GC132" s="34" t="e">
        <f>AND(#REF!,"AAAAADv7Prg=")</f>
        <v>#REF!</v>
      </c>
      <c r="GD132" s="34" t="e">
        <f>AND(#REF!,"AAAAADv7Prk=")</f>
        <v>#REF!</v>
      </c>
      <c r="GE132" s="34" t="e">
        <f>AND(#REF!,"AAAAADv7Pro=")</f>
        <v>#REF!</v>
      </c>
      <c r="GF132" s="34" t="e">
        <f>AND(#REF!,"AAAAADv7Prs=")</f>
        <v>#REF!</v>
      </c>
      <c r="GG132" s="34" t="e">
        <f>AND(#REF!,"AAAAADv7Prw=")</f>
        <v>#REF!</v>
      </c>
      <c r="GH132" s="34" t="e">
        <f>AND(#REF!,"AAAAADv7Pr0=")</f>
        <v>#REF!</v>
      </c>
      <c r="GI132" s="34" t="e">
        <f>AND(#REF!,"AAAAADv7Pr4=")</f>
        <v>#REF!</v>
      </c>
      <c r="GJ132" s="34" t="e">
        <f>AND(#REF!,"AAAAADv7Pr8=")</f>
        <v>#REF!</v>
      </c>
      <c r="GK132" s="34" t="e">
        <f>AND(#REF!,"AAAAADv7PsA=")</f>
        <v>#REF!</v>
      </c>
      <c r="GL132" s="34" t="e">
        <f>AND(#REF!,"AAAAADv7PsE=")</f>
        <v>#REF!</v>
      </c>
      <c r="GM132" s="34" t="e">
        <f>AND(#REF!,"AAAAADv7PsI=")</f>
        <v>#REF!</v>
      </c>
      <c r="GN132" s="34" t="e">
        <f>AND(#REF!,"AAAAADv7PsM=")</f>
        <v>#REF!</v>
      </c>
      <c r="GO132" s="34" t="e">
        <f>IF(#REF!,"AAAAADv7PsQ=",0)</f>
        <v>#REF!</v>
      </c>
      <c r="GP132" s="34" t="e">
        <f>AND(#REF!,"AAAAADv7PsU=")</f>
        <v>#REF!</v>
      </c>
      <c r="GQ132" s="34" t="e">
        <f>AND(#REF!,"AAAAADv7PsY=")</f>
        <v>#REF!</v>
      </c>
      <c r="GR132" s="34" t="e">
        <f>AND(#REF!,"AAAAADv7Psc=")</f>
        <v>#REF!</v>
      </c>
      <c r="GS132" s="34" t="e">
        <f>AND(#REF!,"AAAAADv7Psg=")</f>
        <v>#REF!</v>
      </c>
      <c r="GT132" s="34" t="e">
        <f>AND(#REF!,"AAAAADv7Psk=")</f>
        <v>#REF!</v>
      </c>
      <c r="GU132" s="34" t="e">
        <f>AND(#REF!,"AAAAADv7Pso=")</f>
        <v>#REF!</v>
      </c>
      <c r="GV132" s="34" t="e">
        <f>AND(#REF!,"AAAAADv7Pss=")</f>
        <v>#REF!</v>
      </c>
      <c r="GW132" s="34" t="e">
        <f>AND(#REF!,"AAAAADv7Psw=")</f>
        <v>#REF!</v>
      </c>
      <c r="GX132" s="34" t="e">
        <f>AND(#REF!,"AAAAADv7Ps0=")</f>
        <v>#REF!</v>
      </c>
      <c r="GY132" s="34" t="e">
        <f>AND(#REF!,"AAAAADv7Ps4=")</f>
        <v>#REF!</v>
      </c>
      <c r="GZ132" s="34" t="e">
        <f>AND(#REF!,"AAAAADv7Ps8=")</f>
        <v>#REF!</v>
      </c>
      <c r="HA132" s="34" t="e">
        <f>AND(#REF!,"AAAAADv7PtA=")</f>
        <v>#REF!</v>
      </c>
      <c r="HB132" s="34" t="e">
        <f>AND(#REF!,"AAAAADv7PtE=")</f>
        <v>#REF!</v>
      </c>
      <c r="HC132" s="34" t="e">
        <f>AND(#REF!,"AAAAADv7PtI=")</f>
        <v>#REF!</v>
      </c>
      <c r="HD132" s="34" t="e">
        <f>AND(#REF!,"AAAAADv7PtM=")</f>
        <v>#REF!</v>
      </c>
      <c r="HE132" s="34" t="e">
        <f>AND(#REF!,"AAAAADv7PtQ=")</f>
        <v>#REF!</v>
      </c>
      <c r="HF132" s="34" t="e">
        <f>AND(#REF!,"AAAAADv7PtU=")</f>
        <v>#REF!</v>
      </c>
      <c r="HG132" s="34" t="e">
        <f>AND(#REF!,"AAAAADv7PtY=")</f>
        <v>#REF!</v>
      </c>
      <c r="HH132" s="34" t="e">
        <f>AND(#REF!,"AAAAADv7Ptc=")</f>
        <v>#REF!</v>
      </c>
      <c r="HI132" s="34" t="e">
        <f>AND(#REF!,"AAAAADv7Ptg=")</f>
        <v>#REF!</v>
      </c>
      <c r="HJ132" s="34" t="e">
        <f>AND(#REF!,"AAAAADv7Ptk=")</f>
        <v>#REF!</v>
      </c>
      <c r="HK132" s="34" t="e">
        <f>AND(#REF!,"AAAAADv7Pto=")</f>
        <v>#REF!</v>
      </c>
      <c r="HL132" s="34" t="e">
        <f>AND(#REF!,"AAAAADv7Pts=")</f>
        <v>#REF!</v>
      </c>
      <c r="HM132" s="34" t="e">
        <f>AND(#REF!,"AAAAADv7Ptw=")</f>
        <v>#REF!</v>
      </c>
      <c r="HN132" s="34" t="e">
        <f>AND(#REF!,"AAAAADv7Pt0=")</f>
        <v>#REF!</v>
      </c>
      <c r="HO132" s="34" t="e">
        <f>AND(#REF!,"AAAAADv7Pt4=")</f>
        <v>#REF!</v>
      </c>
      <c r="HP132" s="34" t="e">
        <f>AND(#REF!,"AAAAADv7Pt8=")</f>
        <v>#REF!</v>
      </c>
      <c r="HQ132" s="34" t="e">
        <f>AND(#REF!,"AAAAADv7PuA=")</f>
        <v>#REF!</v>
      </c>
      <c r="HR132" s="34" t="e">
        <f>AND(#REF!,"AAAAADv7PuE=")</f>
        <v>#REF!</v>
      </c>
      <c r="HS132" s="34" t="e">
        <f>AND(#REF!,"AAAAADv7PuI=")</f>
        <v>#REF!</v>
      </c>
      <c r="HT132" s="34" t="e">
        <f>AND(#REF!,"AAAAADv7PuM=")</f>
        <v>#REF!</v>
      </c>
      <c r="HU132" s="34" t="e">
        <f>AND(#REF!,"AAAAADv7PuQ=")</f>
        <v>#REF!</v>
      </c>
      <c r="HV132" s="34" t="e">
        <f>AND(#REF!,"AAAAADv7PuU=")</f>
        <v>#REF!</v>
      </c>
      <c r="HW132" s="34" t="e">
        <f>AND(#REF!,"AAAAADv7PuY=")</f>
        <v>#REF!</v>
      </c>
      <c r="HX132" s="34" t="e">
        <f>AND(#REF!,"AAAAADv7Puc=")</f>
        <v>#REF!</v>
      </c>
      <c r="HY132" s="34" t="e">
        <f>AND(#REF!,"AAAAADv7Pug=")</f>
        <v>#REF!</v>
      </c>
      <c r="HZ132" s="34" t="e">
        <f>AND(#REF!,"AAAAADv7Puk=")</f>
        <v>#REF!</v>
      </c>
      <c r="IA132" s="34" t="e">
        <f>AND(#REF!,"AAAAADv7Puo=")</f>
        <v>#REF!</v>
      </c>
      <c r="IB132" s="34" t="e">
        <f>AND(#REF!,"AAAAADv7Pus=")</f>
        <v>#REF!</v>
      </c>
      <c r="IC132" s="34" t="e">
        <f>AND(#REF!,"AAAAADv7Puw=")</f>
        <v>#REF!</v>
      </c>
      <c r="ID132" s="34" t="e">
        <f>AND(#REF!,"AAAAADv7Pu0=")</f>
        <v>#REF!</v>
      </c>
      <c r="IE132" s="34" t="e">
        <f>AND(#REF!,"AAAAADv7Pu4=")</f>
        <v>#REF!</v>
      </c>
      <c r="IF132" s="34" t="e">
        <f>IF(#REF!,"AAAAADv7Pu8=",0)</f>
        <v>#REF!</v>
      </c>
      <c r="IG132" s="34" t="e">
        <f>AND(#REF!,"AAAAADv7PvA=")</f>
        <v>#REF!</v>
      </c>
      <c r="IH132" s="34" t="e">
        <f>AND(#REF!,"AAAAADv7PvE=")</f>
        <v>#REF!</v>
      </c>
      <c r="II132" s="34" t="e">
        <f>AND(#REF!,"AAAAADv7PvI=")</f>
        <v>#REF!</v>
      </c>
      <c r="IJ132" s="34" t="e">
        <f>AND(#REF!,"AAAAADv7PvM=")</f>
        <v>#REF!</v>
      </c>
      <c r="IK132" s="34" t="e">
        <f>AND(#REF!,"AAAAADv7PvQ=")</f>
        <v>#REF!</v>
      </c>
      <c r="IL132" s="34" t="e">
        <f>AND(#REF!,"AAAAADv7PvU=")</f>
        <v>#REF!</v>
      </c>
      <c r="IM132" s="34" t="e">
        <f>AND(#REF!,"AAAAADv7PvY=")</f>
        <v>#REF!</v>
      </c>
      <c r="IN132" s="34" t="e">
        <f>AND(#REF!,"AAAAADv7Pvc=")</f>
        <v>#REF!</v>
      </c>
      <c r="IO132" s="34" t="e">
        <f>AND(#REF!,"AAAAADv7Pvg=")</f>
        <v>#REF!</v>
      </c>
      <c r="IP132" s="34" t="e">
        <f>AND(#REF!,"AAAAADv7Pvk=")</f>
        <v>#REF!</v>
      </c>
      <c r="IQ132" s="34" t="e">
        <f>AND(#REF!,"AAAAADv7Pvo=")</f>
        <v>#REF!</v>
      </c>
      <c r="IR132" s="34" t="e">
        <f>AND(#REF!,"AAAAADv7Pvs=")</f>
        <v>#REF!</v>
      </c>
      <c r="IS132" s="34" t="e">
        <f>AND(#REF!,"AAAAADv7Pvw=")</f>
        <v>#REF!</v>
      </c>
      <c r="IT132" s="34" t="e">
        <f>AND(#REF!,"AAAAADv7Pv0=")</f>
        <v>#REF!</v>
      </c>
      <c r="IU132" s="34" t="e">
        <f>AND(#REF!,"AAAAADv7Pv4=")</f>
        <v>#REF!</v>
      </c>
      <c r="IV132" s="34" t="e">
        <f>AND(#REF!,"AAAAADv7Pv8=")</f>
        <v>#REF!</v>
      </c>
    </row>
    <row r="133" spans="1:256" ht="12.75" customHeight="1" x14ac:dyDescent="0.2">
      <c r="A133" s="34" t="e">
        <f>AND(#REF!,"AAAAAH4j/gA=")</f>
        <v>#REF!</v>
      </c>
      <c r="B133" s="34" t="e">
        <f>AND(#REF!,"AAAAAH4j/gE=")</f>
        <v>#REF!</v>
      </c>
      <c r="C133" s="34" t="e">
        <f>AND(#REF!,"AAAAAH4j/gI=")</f>
        <v>#REF!</v>
      </c>
      <c r="D133" s="34" t="e">
        <f>AND(#REF!,"AAAAAH4j/gM=")</f>
        <v>#REF!</v>
      </c>
      <c r="E133" s="34" t="e">
        <f>AND(#REF!,"AAAAAH4j/gQ=")</f>
        <v>#REF!</v>
      </c>
      <c r="F133" s="34" t="e">
        <f>AND(#REF!,"AAAAAH4j/gU=")</f>
        <v>#REF!</v>
      </c>
      <c r="G133" s="34" t="e">
        <f>AND(#REF!,"AAAAAH4j/gY=")</f>
        <v>#REF!</v>
      </c>
      <c r="H133" s="34" t="e">
        <f>AND(#REF!,"AAAAAH4j/gc=")</f>
        <v>#REF!</v>
      </c>
      <c r="I133" s="34" t="e">
        <f>AND(#REF!,"AAAAAH4j/gg=")</f>
        <v>#REF!</v>
      </c>
      <c r="J133" s="34" t="e">
        <f>AND(#REF!,"AAAAAH4j/gk=")</f>
        <v>#REF!</v>
      </c>
      <c r="K133" s="34" t="e">
        <f>AND(#REF!,"AAAAAH4j/go=")</f>
        <v>#REF!</v>
      </c>
      <c r="L133" s="34" t="e">
        <f>AND(#REF!,"AAAAAH4j/gs=")</f>
        <v>#REF!</v>
      </c>
      <c r="M133" s="34" t="e">
        <f>AND(#REF!,"AAAAAH4j/gw=")</f>
        <v>#REF!</v>
      </c>
      <c r="N133" s="34" t="e">
        <f>AND(#REF!,"AAAAAH4j/g0=")</f>
        <v>#REF!</v>
      </c>
      <c r="O133" s="34" t="e">
        <f>AND(#REF!,"AAAAAH4j/g4=")</f>
        <v>#REF!</v>
      </c>
      <c r="P133" s="34" t="e">
        <f>AND(#REF!,"AAAAAH4j/g8=")</f>
        <v>#REF!</v>
      </c>
      <c r="Q133" s="34" t="e">
        <f>AND(#REF!,"AAAAAH4j/hA=")</f>
        <v>#REF!</v>
      </c>
      <c r="R133" s="34" t="e">
        <f>AND(#REF!,"AAAAAH4j/hE=")</f>
        <v>#REF!</v>
      </c>
      <c r="S133" s="34" t="e">
        <f>AND(#REF!,"AAAAAH4j/hI=")</f>
        <v>#REF!</v>
      </c>
      <c r="T133" s="34" t="e">
        <f>AND(#REF!,"AAAAAH4j/hM=")</f>
        <v>#REF!</v>
      </c>
      <c r="U133" s="34" t="e">
        <f>AND(#REF!,"AAAAAH4j/hQ=")</f>
        <v>#REF!</v>
      </c>
      <c r="V133" s="34" t="e">
        <f>AND(#REF!,"AAAAAH4j/hU=")</f>
        <v>#REF!</v>
      </c>
      <c r="W133" s="34" t="e">
        <f>AND(#REF!,"AAAAAH4j/hY=")</f>
        <v>#REF!</v>
      </c>
      <c r="X133" s="34" t="e">
        <f>AND(#REF!,"AAAAAH4j/hc=")</f>
        <v>#REF!</v>
      </c>
      <c r="Y133" s="34" t="e">
        <f>AND(#REF!,"AAAAAH4j/hg=")</f>
        <v>#REF!</v>
      </c>
      <c r="Z133" s="34" t="e">
        <f>AND(#REF!,"AAAAAH4j/hk=")</f>
        <v>#REF!</v>
      </c>
      <c r="AA133" s="34" t="e">
        <f>IF(#REF!,"AAAAAH4j/ho=",0)</f>
        <v>#REF!</v>
      </c>
      <c r="AB133" s="34" t="e">
        <f>AND(#REF!,"AAAAAH4j/hs=")</f>
        <v>#REF!</v>
      </c>
      <c r="AC133" s="34" t="e">
        <f>AND(#REF!,"AAAAAH4j/hw=")</f>
        <v>#REF!</v>
      </c>
      <c r="AD133" s="34" t="e">
        <f>AND(#REF!,"AAAAAH4j/h0=")</f>
        <v>#REF!</v>
      </c>
      <c r="AE133" s="34" t="e">
        <f>AND(#REF!,"AAAAAH4j/h4=")</f>
        <v>#REF!</v>
      </c>
      <c r="AF133" s="34" t="e">
        <f>AND(#REF!,"AAAAAH4j/h8=")</f>
        <v>#REF!</v>
      </c>
      <c r="AG133" s="34" t="e">
        <f>AND(#REF!,"AAAAAH4j/iA=")</f>
        <v>#REF!</v>
      </c>
      <c r="AH133" s="34" t="e">
        <f>AND(#REF!,"AAAAAH4j/iE=")</f>
        <v>#REF!</v>
      </c>
      <c r="AI133" s="34" t="e">
        <f>AND(#REF!,"AAAAAH4j/iI=")</f>
        <v>#REF!</v>
      </c>
      <c r="AJ133" s="34" t="e">
        <f>AND(#REF!,"AAAAAH4j/iM=")</f>
        <v>#REF!</v>
      </c>
      <c r="AK133" s="34" t="e">
        <f>AND(#REF!,"AAAAAH4j/iQ=")</f>
        <v>#REF!</v>
      </c>
      <c r="AL133" s="34" t="e">
        <f>AND(#REF!,"AAAAAH4j/iU=")</f>
        <v>#REF!</v>
      </c>
      <c r="AM133" s="34" t="e">
        <f>AND(#REF!,"AAAAAH4j/iY=")</f>
        <v>#REF!</v>
      </c>
      <c r="AN133" s="34" t="e">
        <f>AND(#REF!,"AAAAAH4j/ic=")</f>
        <v>#REF!</v>
      </c>
      <c r="AO133" s="34" t="e">
        <f>AND(#REF!,"AAAAAH4j/ig=")</f>
        <v>#REF!</v>
      </c>
      <c r="AP133" s="34" t="e">
        <f>AND(#REF!,"AAAAAH4j/ik=")</f>
        <v>#REF!</v>
      </c>
      <c r="AQ133" s="34" t="e">
        <f>AND(#REF!,"AAAAAH4j/io=")</f>
        <v>#REF!</v>
      </c>
      <c r="AR133" s="34" t="e">
        <f>AND(#REF!,"AAAAAH4j/is=")</f>
        <v>#REF!</v>
      </c>
      <c r="AS133" s="34" t="e">
        <f>AND(#REF!,"AAAAAH4j/iw=")</f>
        <v>#REF!</v>
      </c>
      <c r="AT133" s="34" t="e">
        <f>AND(#REF!,"AAAAAH4j/i0=")</f>
        <v>#REF!</v>
      </c>
      <c r="AU133" s="34" t="e">
        <f>AND(#REF!,"AAAAAH4j/i4=")</f>
        <v>#REF!</v>
      </c>
      <c r="AV133" s="34" t="e">
        <f>AND(#REF!,"AAAAAH4j/i8=")</f>
        <v>#REF!</v>
      </c>
      <c r="AW133" s="34" t="e">
        <f>AND(#REF!,"AAAAAH4j/jA=")</f>
        <v>#REF!</v>
      </c>
      <c r="AX133" s="34" t="e">
        <f>AND(#REF!,"AAAAAH4j/jE=")</f>
        <v>#REF!</v>
      </c>
      <c r="AY133" s="34" t="e">
        <f>AND(#REF!,"AAAAAH4j/jI=")</f>
        <v>#REF!</v>
      </c>
      <c r="AZ133" s="34" t="e">
        <f>AND(#REF!,"AAAAAH4j/jM=")</f>
        <v>#REF!</v>
      </c>
      <c r="BA133" s="34" t="e">
        <f>AND(#REF!,"AAAAAH4j/jQ=")</f>
        <v>#REF!</v>
      </c>
      <c r="BB133" s="34" t="e">
        <f>AND(#REF!,"AAAAAH4j/jU=")</f>
        <v>#REF!</v>
      </c>
      <c r="BC133" s="34" t="e">
        <f>AND(#REF!,"AAAAAH4j/jY=")</f>
        <v>#REF!</v>
      </c>
      <c r="BD133" s="34" t="e">
        <f>AND(#REF!,"AAAAAH4j/jc=")</f>
        <v>#REF!</v>
      </c>
      <c r="BE133" s="34" t="e">
        <f>AND(#REF!,"AAAAAH4j/jg=")</f>
        <v>#REF!</v>
      </c>
      <c r="BF133" s="34" t="e">
        <f>AND(#REF!,"AAAAAH4j/jk=")</f>
        <v>#REF!</v>
      </c>
      <c r="BG133" s="34" t="e">
        <f>AND(#REF!,"AAAAAH4j/jo=")</f>
        <v>#REF!</v>
      </c>
      <c r="BH133" s="34" t="e">
        <f>AND(#REF!,"AAAAAH4j/js=")</f>
        <v>#REF!</v>
      </c>
      <c r="BI133" s="34" t="e">
        <f>AND(#REF!,"AAAAAH4j/jw=")</f>
        <v>#REF!</v>
      </c>
      <c r="BJ133" s="34" t="e">
        <f>AND(#REF!,"AAAAAH4j/j0=")</f>
        <v>#REF!</v>
      </c>
      <c r="BK133" s="34" t="e">
        <f>AND(#REF!,"AAAAAH4j/j4=")</f>
        <v>#REF!</v>
      </c>
      <c r="BL133" s="34" t="e">
        <f>AND(#REF!,"AAAAAH4j/j8=")</f>
        <v>#REF!</v>
      </c>
      <c r="BM133" s="34" t="e">
        <f>AND(#REF!,"AAAAAH4j/kA=")</f>
        <v>#REF!</v>
      </c>
      <c r="BN133" s="34" t="e">
        <f>AND(#REF!,"AAAAAH4j/kE=")</f>
        <v>#REF!</v>
      </c>
      <c r="BO133" s="34" t="e">
        <f>AND(#REF!,"AAAAAH4j/kI=")</f>
        <v>#REF!</v>
      </c>
      <c r="BP133" s="34" t="e">
        <f>AND(#REF!,"AAAAAH4j/kM=")</f>
        <v>#REF!</v>
      </c>
      <c r="BQ133" s="34" t="e">
        <f>AND(#REF!,"AAAAAH4j/kQ=")</f>
        <v>#REF!</v>
      </c>
      <c r="BR133" s="34" t="e">
        <f>IF(#REF!,"AAAAAH4j/kU=",0)</f>
        <v>#REF!</v>
      </c>
      <c r="BS133" s="34" t="e">
        <f>AND(#REF!,"AAAAAH4j/kY=")</f>
        <v>#REF!</v>
      </c>
      <c r="BT133" s="34" t="e">
        <f>AND(#REF!,"AAAAAH4j/kc=")</f>
        <v>#REF!</v>
      </c>
      <c r="BU133" s="34" t="e">
        <f>AND(#REF!,"AAAAAH4j/kg=")</f>
        <v>#REF!</v>
      </c>
      <c r="BV133" s="34" t="e">
        <f>AND(#REF!,"AAAAAH4j/kk=")</f>
        <v>#REF!</v>
      </c>
      <c r="BW133" s="34" t="e">
        <f>AND(#REF!,"AAAAAH4j/ko=")</f>
        <v>#REF!</v>
      </c>
      <c r="BX133" s="34" t="e">
        <f>AND(#REF!,"AAAAAH4j/ks=")</f>
        <v>#REF!</v>
      </c>
      <c r="BY133" s="34" t="e">
        <f>AND(#REF!,"AAAAAH4j/kw=")</f>
        <v>#REF!</v>
      </c>
      <c r="BZ133" s="34" t="e">
        <f>AND(#REF!,"AAAAAH4j/k0=")</f>
        <v>#REF!</v>
      </c>
      <c r="CA133" s="34" t="e">
        <f>AND(#REF!,"AAAAAH4j/k4=")</f>
        <v>#REF!</v>
      </c>
      <c r="CB133" s="34" t="e">
        <f>AND(#REF!,"AAAAAH4j/k8=")</f>
        <v>#REF!</v>
      </c>
      <c r="CC133" s="34" t="e">
        <f>AND(#REF!,"AAAAAH4j/lA=")</f>
        <v>#REF!</v>
      </c>
      <c r="CD133" s="34" t="e">
        <f>AND(#REF!,"AAAAAH4j/lE=")</f>
        <v>#REF!</v>
      </c>
      <c r="CE133" s="34" t="e">
        <f>AND(#REF!,"AAAAAH4j/lI=")</f>
        <v>#REF!</v>
      </c>
      <c r="CF133" s="34" t="e">
        <f>AND(#REF!,"AAAAAH4j/lM=")</f>
        <v>#REF!</v>
      </c>
      <c r="CG133" s="34" t="e">
        <f>AND(#REF!,"AAAAAH4j/lQ=")</f>
        <v>#REF!</v>
      </c>
      <c r="CH133" s="34" t="e">
        <f>AND(#REF!,"AAAAAH4j/lU=")</f>
        <v>#REF!</v>
      </c>
      <c r="CI133" s="34" t="e">
        <f>AND(#REF!,"AAAAAH4j/lY=")</f>
        <v>#REF!</v>
      </c>
      <c r="CJ133" s="34" t="e">
        <f>AND(#REF!,"AAAAAH4j/lc=")</f>
        <v>#REF!</v>
      </c>
      <c r="CK133" s="34" t="e">
        <f>AND(#REF!,"AAAAAH4j/lg=")</f>
        <v>#REF!</v>
      </c>
      <c r="CL133" s="34" t="e">
        <f>AND(#REF!,"AAAAAH4j/lk=")</f>
        <v>#REF!</v>
      </c>
      <c r="CM133" s="34" t="e">
        <f>AND(#REF!,"AAAAAH4j/lo=")</f>
        <v>#REF!</v>
      </c>
      <c r="CN133" s="34" t="e">
        <f>AND(#REF!,"AAAAAH4j/ls=")</f>
        <v>#REF!</v>
      </c>
      <c r="CO133" s="34" t="e">
        <f>AND(#REF!,"AAAAAH4j/lw=")</f>
        <v>#REF!</v>
      </c>
      <c r="CP133" s="34" t="e">
        <f>AND(#REF!,"AAAAAH4j/l0=")</f>
        <v>#REF!</v>
      </c>
      <c r="CQ133" s="34" t="e">
        <f>AND(#REF!,"AAAAAH4j/l4=")</f>
        <v>#REF!</v>
      </c>
      <c r="CR133" s="34" t="e">
        <f>AND(#REF!,"AAAAAH4j/l8=")</f>
        <v>#REF!</v>
      </c>
      <c r="CS133" s="34" t="e">
        <f>AND(#REF!,"AAAAAH4j/mA=")</f>
        <v>#REF!</v>
      </c>
      <c r="CT133" s="34" t="e">
        <f>AND(#REF!,"AAAAAH4j/mE=")</f>
        <v>#REF!</v>
      </c>
      <c r="CU133" s="34" t="e">
        <f>AND(#REF!,"AAAAAH4j/mI=")</f>
        <v>#REF!</v>
      </c>
      <c r="CV133" s="34" t="e">
        <f>AND(#REF!,"AAAAAH4j/mM=")</f>
        <v>#REF!</v>
      </c>
      <c r="CW133" s="34" t="e">
        <f>AND(#REF!,"AAAAAH4j/mQ=")</f>
        <v>#REF!</v>
      </c>
      <c r="CX133" s="34" t="e">
        <f>AND(#REF!,"AAAAAH4j/mU=")</f>
        <v>#REF!</v>
      </c>
      <c r="CY133" s="34" t="e">
        <f>AND(#REF!,"AAAAAH4j/mY=")</f>
        <v>#REF!</v>
      </c>
      <c r="CZ133" s="34" t="e">
        <f>AND(#REF!,"AAAAAH4j/mc=")</f>
        <v>#REF!</v>
      </c>
      <c r="DA133" s="34" t="e">
        <f>AND(#REF!,"AAAAAH4j/mg=")</f>
        <v>#REF!</v>
      </c>
      <c r="DB133" s="34" t="e">
        <f>AND(#REF!,"AAAAAH4j/mk=")</f>
        <v>#REF!</v>
      </c>
      <c r="DC133" s="34" t="e">
        <f>AND(#REF!,"AAAAAH4j/mo=")</f>
        <v>#REF!</v>
      </c>
      <c r="DD133" s="34" t="e">
        <f>AND(#REF!,"AAAAAH4j/ms=")</f>
        <v>#REF!</v>
      </c>
      <c r="DE133" s="34" t="e">
        <f>AND(#REF!,"AAAAAH4j/mw=")</f>
        <v>#REF!</v>
      </c>
      <c r="DF133" s="34" t="e">
        <f>AND(#REF!,"AAAAAH4j/m0=")</f>
        <v>#REF!</v>
      </c>
      <c r="DG133" s="34" t="e">
        <f>AND(#REF!,"AAAAAH4j/m4=")</f>
        <v>#REF!</v>
      </c>
      <c r="DH133" s="34" t="e">
        <f>AND(#REF!,"AAAAAH4j/m8=")</f>
        <v>#REF!</v>
      </c>
      <c r="DI133" s="34" t="e">
        <f>IF(#REF!,"AAAAAH4j/nA=",0)</f>
        <v>#REF!</v>
      </c>
      <c r="DJ133" s="34" t="e">
        <f>AND(#REF!,"AAAAAH4j/nE=")</f>
        <v>#REF!</v>
      </c>
      <c r="DK133" s="34" t="e">
        <f>AND(#REF!,"AAAAAH4j/nI=")</f>
        <v>#REF!</v>
      </c>
      <c r="DL133" s="34" t="e">
        <f>AND(#REF!,"AAAAAH4j/nM=")</f>
        <v>#REF!</v>
      </c>
      <c r="DM133" s="34" t="e">
        <f>AND(#REF!,"AAAAAH4j/nQ=")</f>
        <v>#REF!</v>
      </c>
      <c r="DN133" s="34" t="e">
        <f>AND(#REF!,"AAAAAH4j/nU=")</f>
        <v>#REF!</v>
      </c>
      <c r="DO133" s="34" t="e">
        <f>AND(#REF!,"AAAAAH4j/nY=")</f>
        <v>#REF!</v>
      </c>
      <c r="DP133" s="34" t="e">
        <f>AND(#REF!,"AAAAAH4j/nc=")</f>
        <v>#REF!</v>
      </c>
      <c r="DQ133" s="34" t="e">
        <f>AND(#REF!,"AAAAAH4j/ng=")</f>
        <v>#REF!</v>
      </c>
      <c r="DR133" s="34" t="e">
        <f>AND(#REF!,"AAAAAH4j/nk=")</f>
        <v>#REF!</v>
      </c>
      <c r="DS133" s="34" t="e">
        <f>AND(#REF!,"AAAAAH4j/no=")</f>
        <v>#REF!</v>
      </c>
      <c r="DT133" s="34" t="e">
        <f>AND(#REF!,"AAAAAH4j/ns=")</f>
        <v>#REF!</v>
      </c>
      <c r="DU133" s="34" t="e">
        <f>AND(#REF!,"AAAAAH4j/nw=")</f>
        <v>#REF!</v>
      </c>
      <c r="DV133" s="34" t="e">
        <f>AND(#REF!,"AAAAAH4j/n0=")</f>
        <v>#REF!</v>
      </c>
      <c r="DW133" s="34" t="e">
        <f>AND(#REF!,"AAAAAH4j/n4=")</f>
        <v>#REF!</v>
      </c>
      <c r="DX133" s="34" t="e">
        <f>AND(#REF!,"AAAAAH4j/n8=")</f>
        <v>#REF!</v>
      </c>
      <c r="DY133" s="34" t="e">
        <f>AND(#REF!,"AAAAAH4j/oA=")</f>
        <v>#REF!</v>
      </c>
      <c r="DZ133" s="34" t="e">
        <f>AND(#REF!,"AAAAAH4j/oE=")</f>
        <v>#REF!</v>
      </c>
      <c r="EA133" s="34" t="e">
        <f>AND(#REF!,"AAAAAH4j/oI=")</f>
        <v>#REF!</v>
      </c>
      <c r="EB133" s="34" t="e">
        <f>AND(#REF!,"AAAAAH4j/oM=")</f>
        <v>#REF!</v>
      </c>
      <c r="EC133" s="34" t="e">
        <f>AND(#REF!,"AAAAAH4j/oQ=")</f>
        <v>#REF!</v>
      </c>
      <c r="ED133" s="34" t="e">
        <f>AND(#REF!,"AAAAAH4j/oU=")</f>
        <v>#REF!</v>
      </c>
      <c r="EE133" s="34" t="e">
        <f>AND(#REF!,"AAAAAH4j/oY=")</f>
        <v>#REF!</v>
      </c>
      <c r="EF133" s="34" t="e">
        <f>AND(#REF!,"AAAAAH4j/oc=")</f>
        <v>#REF!</v>
      </c>
      <c r="EG133" s="34" t="e">
        <f>AND(#REF!,"AAAAAH4j/og=")</f>
        <v>#REF!</v>
      </c>
      <c r="EH133" s="34" t="e">
        <f>AND(#REF!,"AAAAAH4j/ok=")</f>
        <v>#REF!</v>
      </c>
      <c r="EI133" s="34" t="e">
        <f>AND(#REF!,"AAAAAH4j/oo=")</f>
        <v>#REF!</v>
      </c>
      <c r="EJ133" s="34" t="e">
        <f>AND(#REF!,"AAAAAH4j/os=")</f>
        <v>#REF!</v>
      </c>
      <c r="EK133" s="34" t="e">
        <f>AND(#REF!,"AAAAAH4j/ow=")</f>
        <v>#REF!</v>
      </c>
      <c r="EL133" s="34" t="e">
        <f>AND(#REF!,"AAAAAH4j/o0=")</f>
        <v>#REF!</v>
      </c>
      <c r="EM133" s="34" t="e">
        <f>AND(#REF!,"AAAAAH4j/o4=")</f>
        <v>#REF!</v>
      </c>
      <c r="EN133" s="34" t="e">
        <f>AND(#REF!,"AAAAAH4j/o8=")</f>
        <v>#REF!</v>
      </c>
      <c r="EO133" s="34" t="e">
        <f>AND(#REF!,"AAAAAH4j/pA=")</f>
        <v>#REF!</v>
      </c>
      <c r="EP133" s="34" t="e">
        <f>AND(#REF!,"AAAAAH4j/pE=")</f>
        <v>#REF!</v>
      </c>
      <c r="EQ133" s="34" t="e">
        <f>AND(#REF!,"AAAAAH4j/pI=")</f>
        <v>#REF!</v>
      </c>
      <c r="ER133" s="34" t="e">
        <f>AND(#REF!,"AAAAAH4j/pM=")</f>
        <v>#REF!</v>
      </c>
      <c r="ES133" s="34" t="e">
        <f>AND(#REF!,"AAAAAH4j/pQ=")</f>
        <v>#REF!</v>
      </c>
      <c r="ET133" s="34" t="e">
        <f>AND(#REF!,"AAAAAH4j/pU=")</f>
        <v>#REF!</v>
      </c>
      <c r="EU133" s="34" t="e">
        <f>AND(#REF!,"AAAAAH4j/pY=")</f>
        <v>#REF!</v>
      </c>
      <c r="EV133" s="34" t="e">
        <f>AND(#REF!,"AAAAAH4j/pc=")</f>
        <v>#REF!</v>
      </c>
      <c r="EW133" s="34" t="e">
        <f>AND(#REF!,"AAAAAH4j/pg=")</f>
        <v>#REF!</v>
      </c>
      <c r="EX133" s="34" t="e">
        <f>AND(#REF!,"AAAAAH4j/pk=")</f>
        <v>#REF!</v>
      </c>
      <c r="EY133" s="34" t="e">
        <f>AND(#REF!,"AAAAAH4j/po=")</f>
        <v>#REF!</v>
      </c>
      <c r="EZ133" s="34" t="e">
        <f>IF(#REF!,"AAAAAH4j/ps=",0)</f>
        <v>#REF!</v>
      </c>
      <c r="FA133" s="34" t="e">
        <f>AND(#REF!,"AAAAAH4j/pw=")</f>
        <v>#REF!</v>
      </c>
      <c r="FB133" s="34" t="e">
        <f>AND(#REF!,"AAAAAH4j/p0=")</f>
        <v>#REF!</v>
      </c>
      <c r="FC133" s="34" t="e">
        <f>AND(#REF!,"AAAAAH4j/p4=")</f>
        <v>#REF!</v>
      </c>
      <c r="FD133" s="34" t="e">
        <f>AND(#REF!,"AAAAAH4j/p8=")</f>
        <v>#REF!</v>
      </c>
      <c r="FE133" s="34" t="e">
        <f>AND(#REF!,"AAAAAH4j/qA=")</f>
        <v>#REF!</v>
      </c>
      <c r="FF133" s="34" t="e">
        <f>AND(#REF!,"AAAAAH4j/qE=")</f>
        <v>#REF!</v>
      </c>
      <c r="FG133" s="34" t="e">
        <f>AND(#REF!,"AAAAAH4j/qI=")</f>
        <v>#REF!</v>
      </c>
      <c r="FH133" s="34" t="e">
        <f>AND(#REF!,"AAAAAH4j/qM=")</f>
        <v>#REF!</v>
      </c>
      <c r="FI133" s="34" t="e">
        <f>AND(#REF!,"AAAAAH4j/qQ=")</f>
        <v>#REF!</v>
      </c>
      <c r="FJ133" s="34" t="e">
        <f>AND(#REF!,"AAAAAH4j/qU=")</f>
        <v>#REF!</v>
      </c>
      <c r="FK133" s="34" t="e">
        <f>AND(#REF!,"AAAAAH4j/qY=")</f>
        <v>#REF!</v>
      </c>
      <c r="FL133" s="34" t="e">
        <f>AND(#REF!,"AAAAAH4j/qc=")</f>
        <v>#REF!</v>
      </c>
      <c r="FM133" s="34" t="e">
        <f>AND(#REF!,"AAAAAH4j/qg=")</f>
        <v>#REF!</v>
      </c>
      <c r="FN133" s="34" t="e">
        <f>AND(#REF!,"AAAAAH4j/qk=")</f>
        <v>#REF!</v>
      </c>
      <c r="FO133" s="34" t="e">
        <f>AND(#REF!,"AAAAAH4j/qo=")</f>
        <v>#REF!</v>
      </c>
      <c r="FP133" s="34" t="e">
        <f>AND(#REF!,"AAAAAH4j/qs=")</f>
        <v>#REF!</v>
      </c>
      <c r="FQ133" s="34" t="e">
        <f>AND(#REF!,"AAAAAH4j/qw=")</f>
        <v>#REF!</v>
      </c>
      <c r="FR133" s="34" t="e">
        <f>AND(#REF!,"AAAAAH4j/q0=")</f>
        <v>#REF!</v>
      </c>
      <c r="FS133" s="34" t="e">
        <f>AND(#REF!,"AAAAAH4j/q4=")</f>
        <v>#REF!</v>
      </c>
      <c r="FT133" s="34" t="e">
        <f>AND(#REF!,"AAAAAH4j/q8=")</f>
        <v>#REF!</v>
      </c>
      <c r="FU133" s="34" t="e">
        <f>AND(#REF!,"AAAAAH4j/rA=")</f>
        <v>#REF!</v>
      </c>
      <c r="FV133" s="34" t="e">
        <f>AND(#REF!,"AAAAAH4j/rE=")</f>
        <v>#REF!</v>
      </c>
      <c r="FW133" s="34" t="e">
        <f>AND(#REF!,"AAAAAH4j/rI=")</f>
        <v>#REF!</v>
      </c>
      <c r="FX133" s="34" t="e">
        <f>AND(#REF!,"AAAAAH4j/rM=")</f>
        <v>#REF!</v>
      </c>
      <c r="FY133" s="34" t="e">
        <f>AND(#REF!,"AAAAAH4j/rQ=")</f>
        <v>#REF!</v>
      </c>
      <c r="FZ133" s="34" t="e">
        <f>AND(#REF!,"AAAAAH4j/rU=")</f>
        <v>#REF!</v>
      </c>
      <c r="GA133" s="34" t="e">
        <f>AND(#REF!,"AAAAAH4j/rY=")</f>
        <v>#REF!</v>
      </c>
      <c r="GB133" s="34" t="e">
        <f>AND(#REF!,"AAAAAH4j/rc=")</f>
        <v>#REF!</v>
      </c>
      <c r="GC133" s="34" t="e">
        <f>AND(#REF!,"AAAAAH4j/rg=")</f>
        <v>#REF!</v>
      </c>
      <c r="GD133" s="34" t="e">
        <f>AND(#REF!,"AAAAAH4j/rk=")</f>
        <v>#REF!</v>
      </c>
      <c r="GE133" s="34" t="e">
        <f>AND(#REF!,"AAAAAH4j/ro=")</f>
        <v>#REF!</v>
      </c>
      <c r="GF133" s="34" t="e">
        <f>AND(#REF!,"AAAAAH4j/rs=")</f>
        <v>#REF!</v>
      </c>
      <c r="GG133" s="34" t="e">
        <f>AND(#REF!,"AAAAAH4j/rw=")</f>
        <v>#REF!</v>
      </c>
      <c r="GH133" s="34" t="e">
        <f>AND(#REF!,"AAAAAH4j/r0=")</f>
        <v>#REF!</v>
      </c>
      <c r="GI133" s="34" t="e">
        <f>AND(#REF!,"AAAAAH4j/r4=")</f>
        <v>#REF!</v>
      </c>
      <c r="GJ133" s="34" t="e">
        <f>AND(#REF!,"AAAAAH4j/r8=")</f>
        <v>#REF!</v>
      </c>
      <c r="GK133" s="34" t="e">
        <f>AND(#REF!,"AAAAAH4j/sA=")</f>
        <v>#REF!</v>
      </c>
      <c r="GL133" s="34" t="e">
        <f>AND(#REF!,"AAAAAH4j/sE=")</f>
        <v>#REF!</v>
      </c>
      <c r="GM133" s="34" t="e">
        <f>AND(#REF!,"AAAAAH4j/sI=")</f>
        <v>#REF!</v>
      </c>
      <c r="GN133" s="34" t="e">
        <f>AND(#REF!,"AAAAAH4j/sM=")</f>
        <v>#REF!</v>
      </c>
      <c r="GO133" s="34" t="e">
        <f>AND(#REF!,"AAAAAH4j/sQ=")</f>
        <v>#REF!</v>
      </c>
      <c r="GP133" s="34" t="e">
        <f>AND(#REF!,"AAAAAH4j/sU=")</f>
        <v>#REF!</v>
      </c>
      <c r="GQ133" s="34" t="e">
        <f>IF(#REF!,"AAAAAH4j/sY=",0)</f>
        <v>#REF!</v>
      </c>
      <c r="GR133" s="34" t="e">
        <f>AND(#REF!,"AAAAAH4j/sc=")</f>
        <v>#REF!</v>
      </c>
      <c r="GS133" s="34" t="e">
        <f>AND(#REF!,"AAAAAH4j/sg=")</f>
        <v>#REF!</v>
      </c>
      <c r="GT133" s="34" t="e">
        <f>AND(#REF!,"AAAAAH4j/sk=")</f>
        <v>#REF!</v>
      </c>
      <c r="GU133" s="34" t="e">
        <f>AND(#REF!,"AAAAAH4j/so=")</f>
        <v>#REF!</v>
      </c>
      <c r="GV133" s="34" t="e">
        <f>AND(#REF!,"AAAAAH4j/ss=")</f>
        <v>#REF!</v>
      </c>
      <c r="GW133" s="34" t="e">
        <f>AND(#REF!,"AAAAAH4j/sw=")</f>
        <v>#REF!</v>
      </c>
      <c r="GX133" s="34" t="e">
        <f>AND(#REF!,"AAAAAH4j/s0=")</f>
        <v>#REF!</v>
      </c>
      <c r="GY133" s="34" t="e">
        <f>AND(#REF!,"AAAAAH4j/s4=")</f>
        <v>#REF!</v>
      </c>
      <c r="GZ133" s="34" t="e">
        <f>AND(#REF!,"AAAAAH4j/s8=")</f>
        <v>#REF!</v>
      </c>
      <c r="HA133" s="34" t="e">
        <f>AND(#REF!,"AAAAAH4j/tA=")</f>
        <v>#REF!</v>
      </c>
      <c r="HB133" s="34" t="e">
        <f>AND(#REF!,"AAAAAH4j/tE=")</f>
        <v>#REF!</v>
      </c>
      <c r="HC133" s="34" t="e">
        <f>AND(#REF!,"AAAAAH4j/tI=")</f>
        <v>#REF!</v>
      </c>
      <c r="HD133" s="34" t="e">
        <f>AND(#REF!,"AAAAAH4j/tM=")</f>
        <v>#REF!</v>
      </c>
      <c r="HE133" s="34" t="e">
        <f>AND(#REF!,"AAAAAH4j/tQ=")</f>
        <v>#REF!</v>
      </c>
      <c r="HF133" s="34" t="e">
        <f>AND(#REF!,"AAAAAH4j/tU=")</f>
        <v>#REF!</v>
      </c>
      <c r="HG133" s="34" t="e">
        <f>AND(#REF!,"AAAAAH4j/tY=")</f>
        <v>#REF!</v>
      </c>
      <c r="HH133" s="34" t="e">
        <f>AND(#REF!,"AAAAAH4j/tc=")</f>
        <v>#REF!</v>
      </c>
      <c r="HI133" s="34" t="e">
        <f>AND(#REF!,"AAAAAH4j/tg=")</f>
        <v>#REF!</v>
      </c>
      <c r="HJ133" s="34" t="e">
        <f>AND(#REF!,"AAAAAH4j/tk=")</f>
        <v>#REF!</v>
      </c>
      <c r="HK133" s="34" t="e">
        <f>AND(#REF!,"AAAAAH4j/to=")</f>
        <v>#REF!</v>
      </c>
      <c r="HL133" s="34" t="e">
        <f>AND(#REF!,"AAAAAH4j/ts=")</f>
        <v>#REF!</v>
      </c>
      <c r="HM133" s="34" t="e">
        <f>AND(#REF!,"AAAAAH4j/tw=")</f>
        <v>#REF!</v>
      </c>
      <c r="HN133" s="34" t="e">
        <f>AND(#REF!,"AAAAAH4j/t0=")</f>
        <v>#REF!</v>
      </c>
      <c r="HO133" s="34" t="e">
        <f>AND(#REF!,"AAAAAH4j/t4=")</f>
        <v>#REF!</v>
      </c>
      <c r="HP133" s="34" t="e">
        <f>AND(#REF!,"AAAAAH4j/t8=")</f>
        <v>#REF!</v>
      </c>
      <c r="HQ133" s="34" t="e">
        <f>AND(#REF!,"AAAAAH4j/uA=")</f>
        <v>#REF!</v>
      </c>
      <c r="HR133" s="34" t="e">
        <f>AND(#REF!,"AAAAAH4j/uE=")</f>
        <v>#REF!</v>
      </c>
      <c r="HS133" s="34" t="e">
        <f>AND(#REF!,"AAAAAH4j/uI=")</f>
        <v>#REF!</v>
      </c>
      <c r="HT133" s="34" t="e">
        <f>AND(#REF!,"AAAAAH4j/uM=")</f>
        <v>#REF!</v>
      </c>
      <c r="HU133" s="34" t="e">
        <f>AND(#REF!,"AAAAAH4j/uQ=")</f>
        <v>#REF!</v>
      </c>
      <c r="HV133" s="34" t="e">
        <f>AND(#REF!,"AAAAAH4j/uU=")</f>
        <v>#REF!</v>
      </c>
      <c r="HW133" s="34" t="e">
        <f>AND(#REF!,"AAAAAH4j/uY=")</f>
        <v>#REF!</v>
      </c>
      <c r="HX133" s="34" t="e">
        <f>AND(#REF!,"AAAAAH4j/uc=")</f>
        <v>#REF!</v>
      </c>
      <c r="HY133" s="34" t="e">
        <f>AND(#REF!,"AAAAAH4j/ug=")</f>
        <v>#REF!</v>
      </c>
      <c r="HZ133" s="34" t="e">
        <f>AND(#REF!,"AAAAAH4j/uk=")</f>
        <v>#REF!</v>
      </c>
      <c r="IA133" s="34" t="e">
        <f>AND(#REF!,"AAAAAH4j/uo=")</f>
        <v>#REF!</v>
      </c>
      <c r="IB133" s="34" t="e">
        <f>AND(#REF!,"AAAAAH4j/us=")</f>
        <v>#REF!</v>
      </c>
      <c r="IC133" s="34" t="e">
        <f>AND(#REF!,"AAAAAH4j/uw=")</f>
        <v>#REF!</v>
      </c>
      <c r="ID133" s="34" t="e">
        <f>AND(#REF!,"AAAAAH4j/u0=")</f>
        <v>#REF!</v>
      </c>
      <c r="IE133" s="34" t="e">
        <f>AND(#REF!,"AAAAAH4j/u4=")</f>
        <v>#REF!</v>
      </c>
      <c r="IF133" s="34" t="e">
        <f>AND(#REF!,"AAAAAH4j/u8=")</f>
        <v>#REF!</v>
      </c>
      <c r="IG133" s="34" t="e">
        <f>AND(#REF!,"AAAAAH4j/vA=")</f>
        <v>#REF!</v>
      </c>
      <c r="IH133" s="34" t="e">
        <f>IF(#REF!,"AAAAAH4j/vE=",0)</f>
        <v>#REF!</v>
      </c>
      <c r="II133" s="34" t="e">
        <f>AND(#REF!,"AAAAAH4j/vI=")</f>
        <v>#REF!</v>
      </c>
      <c r="IJ133" s="34" t="e">
        <f>AND(#REF!,"AAAAAH4j/vM=")</f>
        <v>#REF!</v>
      </c>
      <c r="IK133" s="34" t="e">
        <f>AND(#REF!,"AAAAAH4j/vQ=")</f>
        <v>#REF!</v>
      </c>
      <c r="IL133" s="34" t="e">
        <f>AND(#REF!,"AAAAAH4j/vU=")</f>
        <v>#REF!</v>
      </c>
      <c r="IM133" s="34" t="e">
        <f>AND(#REF!,"AAAAAH4j/vY=")</f>
        <v>#REF!</v>
      </c>
      <c r="IN133" s="34" t="e">
        <f>AND(#REF!,"AAAAAH4j/vc=")</f>
        <v>#REF!</v>
      </c>
      <c r="IO133" s="34" t="e">
        <f>AND(#REF!,"AAAAAH4j/vg=")</f>
        <v>#REF!</v>
      </c>
      <c r="IP133" s="34" t="e">
        <f>AND(#REF!,"AAAAAH4j/vk=")</f>
        <v>#REF!</v>
      </c>
      <c r="IQ133" s="34" t="e">
        <f>AND(#REF!,"AAAAAH4j/vo=")</f>
        <v>#REF!</v>
      </c>
      <c r="IR133" s="34" t="e">
        <f>AND(#REF!,"AAAAAH4j/vs=")</f>
        <v>#REF!</v>
      </c>
      <c r="IS133" s="34" t="e">
        <f>AND(#REF!,"AAAAAH4j/vw=")</f>
        <v>#REF!</v>
      </c>
      <c r="IT133" s="34" t="e">
        <f>AND(#REF!,"AAAAAH4j/v0=")</f>
        <v>#REF!</v>
      </c>
      <c r="IU133" s="34" t="e">
        <f>AND(#REF!,"AAAAAH4j/v4=")</f>
        <v>#REF!</v>
      </c>
      <c r="IV133" s="34" t="e">
        <f>AND(#REF!,"AAAAAH4j/v8=")</f>
        <v>#REF!</v>
      </c>
    </row>
    <row r="134" spans="1:256" ht="12.75" customHeight="1" x14ac:dyDescent="0.2">
      <c r="A134" s="34" t="e">
        <f>AND(#REF!,"AAAAAG37TQA=")</f>
        <v>#REF!</v>
      </c>
      <c r="B134" s="34" t="e">
        <f>AND(#REF!,"AAAAAG37TQE=")</f>
        <v>#REF!</v>
      </c>
      <c r="C134" s="34" t="e">
        <f>AND(#REF!,"AAAAAG37TQI=")</f>
        <v>#REF!</v>
      </c>
      <c r="D134" s="34" t="e">
        <f>AND(#REF!,"AAAAAG37TQM=")</f>
        <v>#REF!</v>
      </c>
      <c r="E134" s="34" t="e">
        <f>AND(#REF!,"AAAAAG37TQQ=")</f>
        <v>#REF!</v>
      </c>
      <c r="F134" s="34" t="e">
        <f>AND(#REF!,"AAAAAG37TQU=")</f>
        <v>#REF!</v>
      </c>
      <c r="G134" s="34" t="e">
        <f>AND(#REF!,"AAAAAG37TQY=")</f>
        <v>#REF!</v>
      </c>
      <c r="H134" s="34" t="e">
        <f>AND(#REF!,"AAAAAG37TQc=")</f>
        <v>#REF!</v>
      </c>
      <c r="I134" s="34" t="e">
        <f>AND(#REF!,"AAAAAG37TQg=")</f>
        <v>#REF!</v>
      </c>
      <c r="J134" s="34" t="e">
        <f>AND(#REF!,"AAAAAG37TQk=")</f>
        <v>#REF!</v>
      </c>
      <c r="K134" s="34" t="e">
        <f>AND(#REF!,"AAAAAG37TQo=")</f>
        <v>#REF!</v>
      </c>
      <c r="L134" s="34" t="e">
        <f>AND(#REF!,"AAAAAG37TQs=")</f>
        <v>#REF!</v>
      </c>
      <c r="M134" s="34" t="e">
        <f>AND(#REF!,"AAAAAG37TQw=")</f>
        <v>#REF!</v>
      </c>
      <c r="N134" s="34" t="e">
        <f>AND(#REF!,"AAAAAG37TQ0=")</f>
        <v>#REF!</v>
      </c>
      <c r="O134" s="34" t="e">
        <f>AND(#REF!,"AAAAAG37TQ4=")</f>
        <v>#REF!</v>
      </c>
      <c r="P134" s="34" t="e">
        <f>AND(#REF!,"AAAAAG37TQ8=")</f>
        <v>#REF!</v>
      </c>
      <c r="Q134" s="34" t="e">
        <f>AND(#REF!,"AAAAAG37TRA=")</f>
        <v>#REF!</v>
      </c>
      <c r="R134" s="34" t="e">
        <f>AND(#REF!,"AAAAAG37TRE=")</f>
        <v>#REF!</v>
      </c>
      <c r="S134" s="34" t="e">
        <f>AND(#REF!,"AAAAAG37TRI=")</f>
        <v>#REF!</v>
      </c>
      <c r="T134" s="34" t="e">
        <f>AND(#REF!,"AAAAAG37TRM=")</f>
        <v>#REF!</v>
      </c>
      <c r="U134" s="34" t="e">
        <f>AND(#REF!,"AAAAAG37TRQ=")</f>
        <v>#REF!</v>
      </c>
      <c r="V134" s="34" t="e">
        <f>AND(#REF!,"AAAAAG37TRU=")</f>
        <v>#REF!</v>
      </c>
      <c r="W134" s="34" t="e">
        <f>AND(#REF!,"AAAAAG37TRY=")</f>
        <v>#REF!</v>
      </c>
      <c r="X134" s="34" t="e">
        <f>AND(#REF!,"AAAAAG37TRc=")</f>
        <v>#REF!</v>
      </c>
      <c r="Y134" s="34" t="e">
        <f>AND(#REF!,"AAAAAG37TRg=")</f>
        <v>#REF!</v>
      </c>
      <c r="Z134" s="34" t="e">
        <f>AND(#REF!,"AAAAAG37TRk=")</f>
        <v>#REF!</v>
      </c>
      <c r="AA134" s="34" t="e">
        <f>AND(#REF!,"AAAAAG37TRo=")</f>
        <v>#REF!</v>
      </c>
      <c r="AB134" s="34" t="e">
        <f>AND(#REF!,"AAAAAG37TRs=")</f>
        <v>#REF!</v>
      </c>
      <c r="AC134" s="34" t="e">
        <f>IF(#REF!,"AAAAAG37TRw=",0)</f>
        <v>#REF!</v>
      </c>
      <c r="AD134" s="34" t="e">
        <f>AND(#REF!,"AAAAAG37TR0=")</f>
        <v>#REF!</v>
      </c>
      <c r="AE134" s="34" t="e">
        <f>AND(#REF!,"AAAAAG37TR4=")</f>
        <v>#REF!</v>
      </c>
      <c r="AF134" s="34" t="e">
        <f>AND(#REF!,"AAAAAG37TR8=")</f>
        <v>#REF!</v>
      </c>
      <c r="AG134" s="34" t="e">
        <f>AND(#REF!,"AAAAAG37TSA=")</f>
        <v>#REF!</v>
      </c>
      <c r="AH134" s="34" t="e">
        <f>AND(#REF!,"AAAAAG37TSE=")</f>
        <v>#REF!</v>
      </c>
      <c r="AI134" s="34" t="e">
        <f>AND(#REF!,"AAAAAG37TSI=")</f>
        <v>#REF!</v>
      </c>
      <c r="AJ134" s="34" t="e">
        <f>AND(#REF!,"AAAAAG37TSM=")</f>
        <v>#REF!</v>
      </c>
      <c r="AK134" s="34" t="e">
        <f>AND(#REF!,"AAAAAG37TSQ=")</f>
        <v>#REF!</v>
      </c>
      <c r="AL134" s="34" t="e">
        <f>AND(#REF!,"AAAAAG37TSU=")</f>
        <v>#REF!</v>
      </c>
      <c r="AM134" s="34" t="e">
        <f>AND(#REF!,"AAAAAG37TSY=")</f>
        <v>#REF!</v>
      </c>
      <c r="AN134" s="34" t="e">
        <f>AND(#REF!,"AAAAAG37TSc=")</f>
        <v>#REF!</v>
      </c>
      <c r="AO134" s="34" t="e">
        <f>AND(#REF!,"AAAAAG37TSg=")</f>
        <v>#REF!</v>
      </c>
      <c r="AP134" s="34" t="e">
        <f>AND(#REF!,"AAAAAG37TSk=")</f>
        <v>#REF!</v>
      </c>
      <c r="AQ134" s="34" t="e">
        <f>AND(#REF!,"AAAAAG37TSo=")</f>
        <v>#REF!</v>
      </c>
      <c r="AR134" s="34" t="e">
        <f>AND(#REF!,"AAAAAG37TSs=")</f>
        <v>#REF!</v>
      </c>
      <c r="AS134" s="34" t="e">
        <f>AND(#REF!,"AAAAAG37TSw=")</f>
        <v>#REF!</v>
      </c>
      <c r="AT134" s="34" t="e">
        <f>AND(#REF!,"AAAAAG37TS0=")</f>
        <v>#REF!</v>
      </c>
      <c r="AU134" s="34" t="e">
        <f>AND(#REF!,"AAAAAG37TS4=")</f>
        <v>#REF!</v>
      </c>
      <c r="AV134" s="34" t="e">
        <f>AND(#REF!,"AAAAAG37TS8=")</f>
        <v>#REF!</v>
      </c>
      <c r="AW134" s="34" t="e">
        <f>AND(#REF!,"AAAAAG37TTA=")</f>
        <v>#REF!</v>
      </c>
      <c r="AX134" s="34" t="e">
        <f>AND(#REF!,"AAAAAG37TTE=")</f>
        <v>#REF!</v>
      </c>
      <c r="AY134" s="34" t="e">
        <f>AND(#REF!,"AAAAAG37TTI=")</f>
        <v>#REF!</v>
      </c>
      <c r="AZ134" s="34" t="e">
        <f>AND(#REF!,"AAAAAG37TTM=")</f>
        <v>#REF!</v>
      </c>
      <c r="BA134" s="34" t="e">
        <f>AND(#REF!,"AAAAAG37TTQ=")</f>
        <v>#REF!</v>
      </c>
      <c r="BB134" s="34" t="e">
        <f>AND(#REF!,"AAAAAG37TTU=")</f>
        <v>#REF!</v>
      </c>
      <c r="BC134" s="34" t="e">
        <f>AND(#REF!,"AAAAAG37TTY=")</f>
        <v>#REF!</v>
      </c>
      <c r="BD134" s="34" t="e">
        <f>AND(#REF!,"AAAAAG37TTc=")</f>
        <v>#REF!</v>
      </c>
      <c r="BE134" s="34" t="e">
        <f>AND(#REF!,"AAAAAG37TTg=")</f>
        <v>#REF!</v>
      </c>
      <c r="BF134" s="34" t="e">
        <f>AND(#REF!,"AAAAAG37TTk=")</f>
        <v>#REF!</v>
      </c>
      <c r="BG134" s="34" t="e">
        <f>AND(#REF!,"AAAAAG37TTo=")</f>
        <v>#REF!</v>
      </c>
      <c r="BH134" s="34" t="e">
        <f>AND(#REF!,"AAAAAG37TTs=")</f>
        <v>#REF!</v>
      </c>
      <c r="BI134" s="34" t="e">
        <f>AND(#REF!,"AAAAAG37TTw=")</f>
        <v>#REF!</v>
      </c>
      <c r="BJ134" s="34" t="e">
        <f>AND(#REF!,"AAAAAG37TT0=")</f>
        <v>#REF!</v>
      </c>
      <c r="BK134" s="34" t="e">
        <f>AND(#REF!,"AAAAAG37TT4=")</f>
        <v>#REF!</v>
      </c>
      <c r="BL134" s="34" t="e">
        <f>AND(#REF!,"AAAAAG37TT8=")</f>
        <v>#REF!</v>
      </c>
      <c r="BM134" s="34" t="e">
        <f>AND(#REF!,"AAAAAG37TUA=")</f>
        <v>#REF!</v>
      </c>
      <c r="BN134" s="34" t="e">
        <f>AND(#REF!,"AAAAAG37TUE=")</f>
        <v>#REF!</v>
      </c>
      <c r="BO134" s="34" t="e">
        <f>AND(#REF!,"AAAAAG37TUI=")</f>
        <v>#REF!</v>
      </c>
      <c r="BP134" s="34" t="e">
        <f>AND(#REF!,"AAAAAG37TUM=")</f>
        <v>#REF!</v>
      </c>
      <c r="BQ134" s="34" t="e">
        <f>AND(#REF!,"AAAAAG37TUQ=")</f>
        <v>#REF!</v>
      </c>
      <c r="BR134" s="34" t="e">
        <f>AND(#REF!,"AAAAAG37TUU=")</f>
        <v>#REF!</v>
      </c>
      <c r="BS134" s="34" t="e">
        <f>AND(#REF!,"AAAAAG37TUY=")</f>
        <v>#REF!</v>
      </c>
      <c r="BT134" s="34" t="e">
        <f>IF(#REF!,"AAAAAG37TUc=",0)</f>
        <v>#REF!</v>
      </c>
      <c r="BU134" s="34" t="e">
        <f>AND(#REF!,"AAAAAG37TUg=")</f>
        <v>#REF!</v>
      </c>
      <c r="BV134" s="34" t="e">
        <f>AND(#REF!,"AAAAAG37TUk=")</f>
        <v>#REF!</v>
      </c>
      <c r="BW134" s="34" t="e">
        <f>AND(#REF!,"AAAAAG37TUo=")</f>
        <v>#REF!</v>
      </c>
      <c r="BX134" s="34" t="e">
        <f>AND(#REF!,"AAAAAG37TUs=")</f>
        <v>#REF!</v>
      </c>
      <c r="BY134" s="34" t="e">
        <f>AND(#REF!,"AAAAAG37TUw=")</f>
        <v>#REF!</v>
      </c>
      <c r="BZ134" s="34" t="e">
        <f>AND(#REF!,"AAAAAG37TU0=")</f>
        <v>#REF!</v>
      </c>
      <c r="CA134" s="34" t="e">
        <f>AND(#REF!,"AAAAAG37TU4=")</f>
        <v>#REF!</v>
      </c>
      <c r="CB134" s="34" t="e">
        <f>AND(#REF!,"AAAAAG37TU8=")</f>
        <v>#REF!</v>
      </c>
      <c r="CC134" s="34" t="e">
        <f>AND(#REF!,"AAAAAG37TVA=")</f>
        <v>#REF!</v>
      </c>
      <c r="CD134" s="34" t="e">
        <f>AND(#REF!,"AAAAAG37TVE=")</f>
        <v>#REF!</v>
      </c>
      <c r="CE134" s="34" t="e">
        <f>AND(#REF!,"AAAAAG37TVI=")</f>
        <v>#REF!</v>
      </c>
      <c r="CF134" s="34" t="e">
        <f>AND(#REF!,"AAAAAG37TVM=")</f>
        <v>#REF!</v>
      </c>
      <c r="CG134" s="34" t="e">
        <f>AND(#REF!,"AAAAAG37TVQ=")</f>
        <v>#REF!</v>
      </c>
      <c r="CH134" s="34" t="e">
        <f>AND(#REF!,"AAAAAG37TVU=")</f>
        <v>#REF!</v>
      </c>
      <c r="CI134" s="34" t="e">
        <f>AND(#REF!,"AAAAAG37TVY=")</f>
        <v>#REF!</v>
      </c>
      <c r="CJ134" s="34" t="e">
        <f>AND(#REF!,"AAAAAG37TVc=")</f>
        <v>#REF!</v>
      </c>
      <c r="CK134" s="34" t="e">
        <f>AND(#REF!,"AAAAAG37TVg=")</f>
        <v>#REF!</v>
      </c>
      <c r="CL134" s="34" t="e">
        <f>AND(#REF!,"AAAAAG37TVk=")</f>
        <v>#REF!</v>
      </c>
      <c r="CM134" s="34" t="e">
        <f>AND(#REF!,"AAAAAG37TVo=")</f>
        <v>#REF!</v>
      </c>
      <c r="CN134" s="34" t="e">
        <f>AND(#REF!,"AAAAAG37TVs=")</f>
        <v>#REF!</v>
      </c>
      <c r="CO134" s="34" t="e">
        <f>AND(#REF!,"AAAAAG37TVw=")</f>
        <v>#REF!</v>
      </c>
      <c r="CP134" s="34" t="e">
        <f>AND(#REF!,"AAAAAG37TV0=")</f>
        <v>#REF!</v>
      </c>
      <c r="CQ134" s="34" t="e">
        <f>AND(#REF!,"AAAAAG37TV4=")</f>
        <v>#REF!</v>
      </c>
      <c r="CR134" s="34" t="e">
        <f>AND(#REF!,"AAAAAG37TV8=")</f>
        <v>#REF!</v>
      </c>
      <c r="CS134" s="34" t="e">
        <f>AND(#REF!,"AAAAAG37TWA=")</f>
        <v>#REF!</v>
      </c>
      <c r="CT134" s="34" t="e">
        <f>AND(#REF!,"AAAAAG37TWE=")</f>
        <v>#REF!</v>
      </c>
      <c r="CU134" s="34" t="e">
        <f>AND(#REF!,"AAAAAG37TWI=")</f>
        <v>#REF!</v>
      </c>
      <c r="CV134" s="34" t="e">
        <f>AND(#REF!,"AAAAAG37TWM=")</f>
        <v>#REF!</v>
      </c>
      <c r="CW134" s="34" t="e">
        <f>AND(#REF!,"AAAAAG37TWQ=")</f>
        <v>#REF!</v>
      </c>
      <c r="CX134" s="34" t="e">
        <f>AND(#REF!,"AAAAAG37TWU=")</f>
        <v>#REF!</v>
      </c>
      <c r="CY134" s="34" t="e">
        <f>AND(#REF!,"AAAAAG37TWY=")</f>
        <v>#REF!</v>
      </c>
      <c r="CZ134" s="34" t="e">
        <f>AND(#REF!,"AAAAAG37TWc=")</f>
        <v>#REF!</v>
      </c>
      <c r="DA134" s="34" t="e">
        <f>AND(#REF!,"AAAAAG37TWg=")</f>
        <v>#REF!</v>
      </c>
      <c r="DB134" s="34" t="e">
        <f>AND(#REF!,"AAAAAG37TWk=")</f>
        <v>#REF!</v>
      </c>
      <c r="DC134" s="34" t="e">
        <f>AND(#REF!,"AAAAAG37TWo=")</f>
        <v>#REF!</v>
      </c>
      <c r="DD134" s="34" t="e">
        <f>AND(#REF!,"AAAAAG37TWs=")</f>
        <v>#REF!</v>
      </c>
      <c r="DE134" s="34" t="e">
        <f>AND(#REF!,"AAAAAG37TWw=")</f>
        <v>#REF!</v>
      </c>
      <c r="DF134" s="34" t="e">
        <f>AND(#REF!,"AAAAAG37TW0=")</f>
        <v>#REF!</v>
      </c>
      <c r="DG134" s="34" t="e">
        <f>AND(#REF!,"AAAAAG37TW4=")</f>
        <v>#REF!</v>
      </c>
      <c r="DH134" s="34" t="e">
        <f>AND(#REF!,"AAAAAG37TW8=")</f>
        <v>#REF!</v>
      </c>
      <c r="DI134" s="34" t="e">
        <f>AND(#REF!,"AAAAAG37TXA=")</f>
        <v>#REF!</v>
      </c>
      <c r="DJ134" s="34" t="e">
        <f>AND(#REF!,"AAAAAG37TXE=")</f>
        <v>#REF!</v>
      </c>
      <c r="DK134" s="34" t="e">
        <f>IF(#REF!,"AAAAAG37TXI=",0)</f>
        <v>#REF!</v>
      </c>
      <c r="DL134" s="34" t="e">
        <f>AND(#REF!,"AAAAAG37TXM=")</f>
        <v>#REF!</v>
      </c>
      <c r="DM134" s="34" t="e">
        <f>AND(#REF!,"AAAAAG37TXQ=")</f>
        <v>#REF!</v>
      </c>
      <c r="DN134" s="34" t="e">
        <f>AND(#REF!,"AAAAAG37TXU=")</f>
        <v>#REF!</v>
      </c>
      <c r="DO134" s="34" t="e">
        <f>AND(#REF!,"AAAAAG37TXY=")</f>
        <v>#REF!</v>
      </c>
      <c r="DP134" s="34" t="e">
        <f>AND(#REF!,"AAAAAG37TXc=")</f>
        <v>#REF!</v>
      </c>
      <c r="DQ134" s="34" t="e">
        <f>AND(#REF!,"AAAAAG37TXg=")</f>
        <v>#REF!</v>
      </c>
      <c r="DR134" s="34" t="e">
        <f>AND(#REF!,"AAAAAG37TXk=")</f>
        <v>#REF!</v>
      </c>
      <c r="DS134" s="34" t="e">
        <f>AND(#REF!,"AAAAAG37TXo=")</f>
        <v>#REF!</v>
      </c>
      <c r="DT134" s="34" t="e">
        <f>AND(#REF!,"AAAAAG37TXs=")</f>
        <v>#REF!</v>
      </c>
      <c r="DU134" s="34" t="e">
        <f>AND(#REF!,"AAAAAG37TXw=")</f>
        <v>#REF!</v>
      </c>
      <c r="DV134" s="34" t="e">
        <f>AND(#REF!,"AAAAAG37TX0=")</f>
        <v>#REF!</v>
      </c>
      <c r="DW134" s="34" t="e">
        <f>AND(#REF!,"AAAAAG37TX4=")</f>
        <v>#REF!</v>
      </c>
      <c r="DX134" s="34" t="e">
        <f>AND(#REF!,"AAAAAG37TX8=")</f>
        <v>#REF!</v>
      </c>
      <c r="DY134" s="34" t="e">
        <f>AND(#REF!,"AAAAAG37TYA=")</f>
        <v>#REF!</v>
      </c>
      <c r="DZ134" s="34" t="e">
        <f>AND(#REF!,"AAAAAG37TYE=")</f>
        <v>#REF!</v>
      </c>
      <c r="EA134" s="34" t="e">
        <f>AND(#REF!,"AAAAAG37TYI=")</f>
        <v>#REF!</v>
      </c>
      <c r="EB134" s="34" t="e">
        <f>AND(#REF!,"AAAAAG37TYM=")</f>
        <v>#REF!</v>
      </c>
      <c r="EC134" s="34" t="e">
        <f>AND(#REF!,"AAAAAG37TYQ=")</f>
        <v>#REF!</v>
      </c>
      <c r="ED134" s="34" t="e">
        <f>AND(#REF!,"AAAAAG37TYU=")</f>
        <v>#REF!</v>
      </c>
      <c r="EE134" s="34" t="e">
        <f>AND(#REF!,"AAAAAG37TYY=")</f>
        <v>#REF!</v>
      </c>
      <c r="EF134" s="34" t="e">
        <f>AND(#REF!,"AAAAAG37TYc=")</f>
        <v>#REF!</v>
      </c>
      <c r="EG134" s="34" t="e">
        <f>AND(#REF!,"AAAAAG37TYg=")</f>
        <v>#REF!</v>
      </c>
      <c r="EH134" s="34" t="e">
        <f>AND(#REF!,"AAAAAG37TYk=")</f>
        <v>#REF!</v>
      </c>
      <c r="EI134" s="34" t="e">
        <f>AND(#REF!,"AAAAAG37TYo=")</f>
        <v>#REF!</v>
      </c>
      <c r="EJ134" s="34" t="e">
        <f>AND(#REF!,"AAAAAG37TYs=")</f>
        <v>#REF!</v>
      </c>
      <c r="EK134" s="34" t="e">
        <f>AND(#REF!,"AAAAAG37TYw=")</f>
        <v>#REF!</v>
      </c>
      <c r="EL134" s="34" t="e">
        <f>AND(#REF!,"AAAAAG37TY0=")</f>
        <v>#REF!</v>
      </c>
      <c r="EM134" s="34" t="e">
        <f>AND(#REF!,"AAAAAG37TY4=")</f>
        <v>#REF!</v>
      </c>
      <c r="EN134" s="34" t="e">
        <f>AND(#REF!,"AAAAAG37TY8=")</f>
        <v>#REF!</v>
      </c>
      <c r="EO134" s="34" t="e">
        <f>AND(#REF!,"AAAAAG37TZA=")</f>
        <v>#REF!</v>
      </c>
      <c r="EP134" s="34" t="e">
        <f>AND(#REF!,"AAAAAG37TZE=")</f>
        <v>#REF!</v>
      </c>
      <c r="EQ134" s="34" t="e">
        <f>AND(#REF!,"AAAAAG37TZI=")</f>
        <v>#REF!</v>
      </c>
      <c r="ER134" s="34" t="e">
        <f>AND(#REF!,"AAAAAG37TZM=")</f>
        <v>#REF!</v>
      </c>
      <c r="ES134" s="34" t="e">
        <f>AND(#REF!,"AAAAAG37TZQ=")</f>
        <v>#REF!</v>
      </c>
      <c r="ET134" s="34" t="e">
        <f>AND(#REF!,"AAAAAG37TZU=")</f>
        <v>#REF!</v>
      </c>
      <c r="EU134" s="34" t="e">
        <f>AND(#REF!,"AAAAAG37TZY=")</f>
        <v>#REF!</v>
      </c>
      <c r="EV134" s="34" t="e">
        <f>AND(#REF!,"AAAAAG37TZc=")</f>
        <v>#REF!</v>
      </c>
      <c r="EW134" s="34" t="e">
        <f>AND(#REF!,"AAAAAG37TZg=")</f>
        <v>#REF!</v>
      </c>
      <c r="EX134" s="34" t="e">
        <f>AND(#REF!,"AAAAAG37TZk=")</f>
        <v>#REF!</v>
      </c>
      <c r="EY134" s="34" t="e">
        <f>AND(#REF!,"AAAAAG37TZo=")</f>
        <v>#REF!</v>
      </c>
      <c r="EZ134" s="34" t="e">
        <f>AND(#REF!,"AAAAAG37TZs=")</f>
        <v>#REF!</v>
      </c>
      <c r="FA134" s="34" t="e">
        <f>AND(#REF!,"AAAAAG37TZw=")</f>
        <v>#REF!</v>
      </c>
      <c r="FB134" s="34" t="e">
        <f>IF(#REF!,"AAAAAG37TZ0=",0)</f>
        <v>#REF!</v>
      </c>
      <c r="FC134" s="34" t="e">
        <f>AND(#REF!,"AAAAAG37TZ4=")</f>
        <v>#REF!</v>
      </c>
      <c r="FD134" s="34" t="e">
        <f>AND(#REF!,"AAAAAG37TZ8=")</f>
        <v>#REF!</v>
      </c>
      <c r="FE134" s="34" t="e">
        <f>AND(#REF!,"AAAAAG37TaA=")</f>
        <v>#REF!</v>
      </c>
      <c r="FF134" s="34" t="e">
        <f>AND(#REF!,"AAAAAG37TaE=")</f>
        <v>#REF!</v>
      </c>
      <c r="FG134" s="34" t="e">
        <f>AND(#REF!,"AAAAAG37TaI=")</f>
        <v>#REF!</v>
      </c>
      <c r="FH134" s="34" t="e">
        <f>AND(#REF!,"AAAAAG37TaM=")</f>
        <v>#REF!</v>
      </c>
      <c r="FI134" s="34" t="e">
        <f>AND(#REF!,"AAAAAG37TaQ=")</f>
        <v>#REF!</v>
      </c>
      <c r="FJ134" s="34" t="e">
        <f>AND(#REF!,"AAAAAG37TaU=")</f>
        <v>#REF!</v>
      </c>
      <c r="FK134" s="34" t="e">
        <f>AND(#REF!,"AAAAAG37TaY=")</f>
        <v>#REF!</v>
      </c>
      <c r="FL134" s="34" t="e">
        <f>AND(#REF!,"AAAAAG37Tac=")</f>
        <v>#REF!</v>
      </c>
      <c r="FM134" s="34" t="e">
        <f>AND(#REF!,"AAAAAG37Tag=")</f>
        <v>#REF!</v>
      </c>
      <c r="FN134" s="34" t="e">
        <f>AND(#REF!,"AAAAAG37Tak=")</f>
        <v>#REF!</v>
      </c>
      <c r="FO134" s="34" t="e">
        <f>AND(#REF!,"AAAAAG37Tao=")</f>
        <v>#REF!</v>
      </c>
      <c r="FP134" s="34" t="e">
        <f>AND(#REF!,"AAAAAG37Tas=")</f>
        <v>#REF!</v>
      </c>
      <c r="FQ134" s="34" t="e">
        <f>AND(#REF!,"AAAAAG37Taw=")</f>
        <v>#REF!</v>
      </c>
      <c r="FR134" s="34" t="e">
        <f>AND(#REF!,"AAAAAG37Ta0=")</f>
        <v>#REF!</v>
      </c>
      <c r="FS134" s="34" t="e">
        <f>AND(#REF!,"AAAAAG37Ta4=")</f>
        <v>#REF!</v>
      </c>
      <c r="FT134" s="34" t="e">
        <f>AND(#REF!,"AAAAAG37Ta8=")</f>
        <v>#REF!</v>
      </c>
      <c r="FU134" s="34" t="e">
        <f>AND(#REF!,"AAAAAG37TbA=")</f>
        <v>#REF!</v>
      </c>
      <c r="FV134" s="34" t="e">
        <f>AND(#REF!,"AAAAAG37TbE=")</f>
        <v>#REF!</v>
      </c>
      <c r="FW134" s="34" t="e">
        <f>AND(#REF!,"AAAAAG37TbI=")</f>
        <v>#REF!</v>
      </c>
      <c r="FX134" s="34" t="e">
        <f>AND(#REF!,"AAAAAG37TbM=")</f>
        <v>#REF!</v>
      </c>
      <c r="FY134" s="34" t="e">
        <f>AND(#REF!,"AAAAAG37TbQ=")</f>
        <v>#REF!</v>
      </c>
      <c r="FZ134" s="34" t="e">
        <f>AND(#REF!,"AAAAAG37TbU=")</f>
        <v>#REF!</v>
      </c>
      <c r="GA134" s="34" t="e">
        <f>AND(#REF!,"AAAAAG37TbY=")</f>
        <v>#REF!</v>
      </c>
      <c r="GB134" s="34" t="e">
        <f>AND(#REF!,"AAAAAG37Tbc=")</f>
        <v>#REF!</v>
      </c>
      <c r="GC134" s="34" t="e">
        <f>AND(#REF!,"AAAAAG37Tbg=")</f>
        <v>#REF!</v>
      </c>
      <c r="GD134" s="34" t="e">
        <f>AND(#REF!,"AAAAAG37Tbk=")</f>
        <v>#REF!</v>
      </c>
      <c r="GE134" s="34" t="e">
        <f>AND(#REF!,"AAAAAG37Tbo=")</f>
        <v>#REF!</v>
      </c>
      <c r="GF134" s="34" t="e">
        <f>AND(#REF!,"AAAAAG37Tbs=")</f>
        <v>#REF!</v>
      </c>
      <c r="GG134" s="34" t="e">
        <f>AND(#REF!,"AAAAAG37Tbw=")</f>
        <v>#REF!</v>
      </c>
      <c r="GH134" s="34" t="e">
        <f>AND(#REF!,"AAAAAG37Tb0=")</f>
        <v>#REF!</v>
      </c>
      <c r="GI134" s="34" t="e">
        <f>AND(#REF!,"AAAAAG37Tb4=")</f>
        <v>#REF!</v>
      </c>
      <c r="GJ134" s="34" t="e">
        <f>AND(#REF!,"AAAAAG37Tb8=")</f>
        <v>#REF!</v>
      </c>
      <c r="GK134" s="34" t="e">
        <f>AND(#REF!,"AAAAAG37TcA=")</f>
        <v>#REF!</v>
      </c>
      <c r="GL134" s="34" t="e">
        <f>AND(#REF!,"AAAAAG37TcE=")</f>
        <v>#REF!</v>
      </c>
      <c r="GM134" s="34" t="e">
        <f>AND(#REF!,"AAAAAG37TcI=")</f>
        <v>#REF!</v>
      </c>
      <c r="GN134" s="34" t="e">
        <f>AND(#REF!,"AAAAAG37TcM=")</f>
        <v>#REF!</v>
      </c>
      <c r="GO134" s="34" t="e">
        <f>AND(#REF!,"AAAAAG37TcQ=")</f>
        <v>#REF!</v>
      </c>
      <c r="GP134" s="34" t="e">
        <f>AND(#REF!,"AAAAAG37TcU=")</f>
        <v>#REF!</v>
      </c>
      <c r="GQ134" s="34" t="e">
        <f>AND(#REF!,"AAAAAG37TcY=")</f>
        <v>#REF!</v>
      </c>
      <c r="GR134" s="34" t="e">
        <f>AND(#REF!,"AAAAAG37Tcc=")</f>
        <v>#REF!</v>
      </c>
      <c r="GS134" s="34" t="e">
        <f>IF(#REF!,"AAAAAG37Tcg=",0)</f>
        <v>#REF!</v>
      </c>
      <c r="GT134" s="34" t="e">
        <f>AND(#REF!,"AAAAAG37Tck=")</f>
        <v>#REF!</v>
      </c>
      <c r="GU134" s="34" t="e">
        <f>AND(#REF!,"AAAAAG37Tco=")</f>
        <v>#REF!</v>
      </c>
      <c r="GV134" s="34" t="e">
        <f>AND(#REF!,"AAAAAG37Tcs=")</f>
        <v>#REF!</v>
      </c>
      <c r="GW134" s="34" t="e">
        <f>AND(#REF!,"AAAAAG37Tcw=")</f>
        <v>#REF!</v>
      </c>
      <c r="GX134" s="34" t="e">
        <f>AND(#REF!,"AAAAAG37Tc0=")</f>
        <v>#REF!</v>
      </c>
      <c r="GY134" s="34" t="e">
        <f>AND(#REF!,"AAAAAG37Tc4=")</f>
        <v>#REF!</v>
      </c>
      <c r="GZ134" s="34" t="e">
        <f>AND(#REF!,"AAAAAG37Tc8=")</f>
        <v>#REF!</v>
      </c>
      <c r="HA134" s="34" t="e">
        <f>AND(#REF!,"AAAAAG37TdA=")</f>
        <v>#REF!</v>
      </c>
      <c r="HB134" s="34" t="e">
        <f>AND(#REF!,"AAAAAG37TdE=")</f>
        <v>#REF!</v>
      </c>
      <c r="HC134" s="34" t="e">
        <f>AND(#REF!,"AAAAAG37TdI=")</f>
        <v>#REF!</v>
      </c>
      <c r="HD134" s="34" t="e">
        <f>AND(#REF!,"AAAAAG37TdM=")</f>
        <v>#REF!</v>
      </c>
      <c r="HE134" s="34" t="e">
        <f>AND(#REF!,"AAAAAG37TdQ=")</f>
        <v>#REF!</v>
      </c>
      <c r="HF134" s="34" t="e">
        <f>AND(#REF!,"AAAAAG37TdU=")</f>
        <v>#REF!</v>
      </c>
      <c r="HG134" s="34" t="e">
        <f>AND(#REF!,"AAAAAG37TdY=")</f>
        <v>#REF!</v>
      </c>
      <c r="HH134" s="34" t="e">
        <f>AND(#REF!,"AAAAAG37Tdc=")</f>
        <v>#REF!</v>
      </c>
      <c r="HI134" s="34" t="e">
        <f>AND(#REF!,"AAAAAG37Tdg=")</f>
        <v>#REF!</v>
      </c>
      <c r="HJ134" s="34" t="e">
        <f>AND(#REF!,"AAAAAG37Tdk=")</f>
        <v>#REF!</v>
      </c>
      <c r="HK134" s="34" t="e">
        <f>AND(#REF!,"AAAAAG37Tdo=")</f>
        <v>#REF!</v>
      </c>
      <c r="HL134" s="34" t="e">
        <f>AND(#REF!,"AAAAAG37Tds=")</f>
        <v>#REF!</v>
      </c>
      <c r="HM134" s="34" t="e">
        <f>AND(#REF!,"AAAAAG37Tdw=")</f>
        <v>#REF!</v>
      </c>
      <c r="HN134" s="34" t="e">
        <f>AND(#REF!,"AAAAAG37Td0=")</f>
        <v>#REF!</v>
      </c>
      <c r="HO134" s="34" t="e">
        <f>AND(#REF!,"AAAAAG37Td4=")</f>
        <v>#REF!</v>
      </c>
      <c r="HP134" s="34" t="e">
        <f>AND(#REF!,"AAAAAG37Td8=")</f>
        <v>#REF!</v>
      </c>
      <c r="HQ134" s="34" t="e">
        <f>AND(#REF!,"AAAAAG37TeA=")</f>
        <v>#REF!</v>
      </c>
      <c r="HR134" s="34" t="e">
        <f>AND(#REF!,"AAAAAG37TeE=")</f>
        <v>#REF!</v>
      </c>
      <c r="HS134" s="34" t="e">
        <f>AND(#REF!,"AAAAAG37TeI=")</f>
        <v>#REF!</v>
      </c>
      <c r="HT134" s="34" t="e">
        <f>AND(#REF!,"AAAAAG37TeM=")</f>
        <v>#REF!</v>
      </c>
      <c r="HU134" s="34" t="e">
        <f>AND(#REF!,"AAAAAG37TeQ=")</f>
        <v>#REF!</v>
      </c>
      <c r="HV134" s="34" t="e">
        <f>AND(#REF!,"AAAAAG37TeU=")</f>
        <v>#REF!</v>
      </c>
      <c r="HW134" s="34" t="e">
        <f>AND(#REF!,"AAAAAG37TeY=")</f>
        <v>#REF!</v>
      </c>
      <c r="HX134" s="34" t="e">
        <f>AND(#REF!,"AAAAAG37Tec=")</f>
        <v>#REF!</v>
      </c>
      <c r="HY134" s="34" t="e">
        <f>AND(#REF!,"AAAAAG37Teg=")</f>
        <v>#REF!</v>
      </c>
      <c r="HZ134" s="34" t="e">
        <f>AND(#REF!,"AAAAAG37Tek=")</f>
        <v>#REF!</v>
      </c>
      <c r="IA134" s="34" t="e">
        <f>AND(#REF!,"AAAAAG37Teo=")</f>
        <v>#REF!</v>
      </c>
      <c r="IB134" s="34" t="e">
        <f>AND(#REF!,"AAAAAG37Tes=")</f>
        <v>#REF!</v>
      </c>
      <c r="IC134" s="34" t="e">
        <f>AND(#REF!,"AAAAAG37Tew=")</f>
        <v>#REF!</v>
      </c>
      <c r="ID134" s="34" t="e">
        <f>AND(#REF!,"AAAAAG37Te0=")</f>
        <v>#REF!</v>
      </c>
      <c r="IE134" s="34" t="e">
        <f>AND(#REF!,"AAAAAG37Te4=")</f>
        <v>#REF!</v>
      </c>
      <c r="IF134" s="34" t="e">
        <f>AND(#REF!,"AAAAAG37Te8=")</f>
        <v>#REF!</v>
      </c>
      <c r="IG134" s="34" t="e">
        <f>AND(#REF!,"AAAAAG37TfA=")</f>
        <v>#REF!</v>
      </c>
      <c r="IH134" s="34" t="e">
        <f>AND(#REF!,"AAAAAG37TfE=")</f>
        <v>#REF!</v>
      </c>
      <c r="II134" s="34" t="e">
        <f>AND(#REF!,"AAAAAG37TfI=")</f>
        <v>#REF!</v>
      </c>
      <c r="IJ134" s="34" t="e">
        <f>IF(#REF!,"AAAAAG37TfM=",0)</f>
        <v>#REF!</v>
      </c>
      <c r="IK134" s="34" t="e">
        <f>AND(#REF!,"AAAAAG37TfQ=")</f>
        <v>#REF!</v>
      </c>
      <c r="IL134" s="34" t="e">
        <f>AND(#REF!,"AAAAAG37TfU=")</f>
        <v>#REF!</v>
      </c>
      <c r="IM134" s="34" t="e">
        <f>AND(#REF!,"AAAAAG37TfY=")</f>
        <v>#REF!</v>
      </c>
      <c r="IN134" s="34" t="e">
        <f>AND(#REF!,"AAAAAG37Tfc=")</f>
        <v>#REF!</v>
      </c>
      <c r="IO134" s="34" t="e">
        <f>AND(#REF!,"AAAAAG37Tfg=")</f>
        <v>#REF!</v>
      </c>
      <c r="IP134" s="34" t="e">
        <f>AND(#REF!,"AAAAAG37Tfk=")</f>
        <v>#REF!</v>
      </c>
      <c r="IQ134" s="34" t="e">
        <f>AND(#REF!,"AAAAAG37Tfo=")</f>
        <v>#REF!</v>
      </c>
      <c r="IR134" s="34" t="e">
        <f>AND(#REF!,"AAAAAG37Tfs=")</f>
        <v>#REF!</v>
      </c>
      <c r="IS134" s="34" t="e">
        <f>AND(#REF!,"AAAAAG37Tfw=")</f>
        <v>#REF!</v>
      </c>
      <c r="IT134" s="34" t="e">
        <f>AND(#REF!,"AAAAAG37Tf0=")</f>
        <v>#REF!</v>
      </c>
      <c r="IU134" s="34" t="e">
        <f>AND(#REF!,"AAAAAG37Tf4=")</f>
        <v>#REF!</v>
      </c>
      <c r="IV134" s="34" t="e">
        <f>AND(#REF!,"AAAAAG37Tf8=")</f>
        <v>#REF!</v>
      </c>
    </row>
    <row r="135" spans="1:256" ht="12.75" customHeight="1" x14ac:dyDescent="0.2">
      <c r="A135" s="34" t="e">
        <f>AND(#REF!,"AAAAAHt7rwA=")</f>
        <v>#REF!</v>
      </c>
      <c r="B135" s="34" t="e">
        <f>AND(#REF!,"AAAAAHt7rwE=")</f>
        <v>#REF!</v>
      </c>
      <c r="C135" s="34" t="e">
        <f>AND(#REF!,"AAAAAHt7rwI=")</f>
        <v>#REF!</v>
      </c>
      <c r="D135" s="34" t="e">
        <f>AND(#REF!,"AAAAAHt7rwM=")</f>
        <v>#REF!</v>
      </c>
      <c r="E135" s="34" t="e">
        <f>AND(#REF!,"AAAAAHt7rwQ=")</f>
        <v>#REF!</v>
      </c>
      <c r="F135" s="34" t="e">
        <f>AND(#REF!,"AAAAAHt7rwU=")</f>
        <v>#REF!</v>
      </c>
      <c r="G135" s="34" t="e">
        <f>AND(#REF!,"AAAAAHt7rwY=")</f>
        <v>#REF!</v>
      </c>
      <c r="H135" s="34" t="e">
        <f>AND(#REF!,"AAAAAHt7rwc=")</f>
        <v>#REF!</v>
      </c>
      <c r="I135" s="34" t="e">
        <f>AND(#REF!,"AAAAAHt7rwg=")</f>
        <v>#REF!</v>
      </c>
      <c r="J135" s="34" t="e">
        <f>AND(#REF!,"AAAAAHt7rwk=")</f>
        <v>#REF!</v>
      </c>
      <c r="K135" s="34" t="e">
        <f>AND(#REF!,"AAAAAHt7rwo=")</f>
        <v>#REF!</v>
      </c>
      <c r="L135" s="34" t="e">
        <f>AND(#REF!,"AAAAAHt7rws=")</f>
        <v>#REF!</v>
      </c>
      <c r="M135" s="34" t="e">
        <f>AND(#REF!,"AAAAAHt7rww=")</f>
        <v>#REF!</v>
      </c>
      <c r="N135" s="34" t="e">
        <f>AND(#REF!,"AAAAAHt7rw0=")</f>
        <v>#REF!</v>
      </c>
      <c r="O135" s="34" t="e">
        <f>AND(#REF!,"AAAAAHt7rw4=")</f>
        <v>#REF!</v>
      </c>
      <c r="P135" s="34" t="e">
        <f>AND(#REF!,"AAAAAHt7rw8=")</f>
        <v>#REF!</v>
      </c>
      <c r="Q135" s="34" t="e">
        <f>AND(#REF!,"AAAAAHt7rxA=")</f>
        <v>#REF!</v>
      </c>
      <c r="R135" s="34" t="e">
        <f>AND(#REF!,"AAAAAHt7rxE=")</f>
        <v>#REF!</v>
      </c>
      <c r="S135" s="34" t="e">
        <f>AND(#REF!,"AAAAAHt7rxI=")</f>
        <v>#REF!</v>
      </c>
      <c r="T135" s="34" t="e">
        <f>AND(#REF!,"AAAAAHt7rxM=")</f>
        <v>#REF!</v>
      </c>
      <c r="U135" s="34" t="e">
        <f>AND(#REF!,"AAAAAHt7rxQ=")</f>
        <v>#REF!</v>
      </c>
      <c r="V135" s="34" t="e">
        <f>AND(#REF!,"AAAAAHt7rxU=")</f>
        <v>#REF!</v>
      </c>
      <c r="W135" s="34" t="e">
        <f>AND(#REF!,"AAAAAHt7rxY=")</f>
        <v>#REF!</v>
      </c>
      <c r="X135" s="34" t="e">
        <f>AND(#REF!,"AAAAAHt7rxc=")</f>
        <v>#REF!</v>
      </c>
      <c r="Y135" s="34" t="e">
        <f>AND(#REF!,"AAAAAHt7rxg=")</f>
        <v>#REF!</v>
      </c>
      <c r="Z135" s="34" t="e">
        <f>AND(#REF!,"AAAAAHt7rxk=")</f>
        <v>#REF!</v>
      </c>
      <c r="AA135" s="34" t="e">
        <f>AND(#REF!,"AAAAAHt7rxo=")</f>
        <v>#REF!</v>
      </c>
      <c r="AB135" s="34" t="e">
        <f>AND(#REF!,"AAAAAHt7rxs=")</f>
        <v>#REF!</v>
      </c>
      <c r="AC135" s="34" t="e">
        <f>AND(#REF!,"AAAAAHt7rxw=")</f>
        <v>#REF!</v>
      </c>
      <c r="AD135" s="34" t="e">
        <f>AND(#REF!,"AAAAAHt7rx0=")</f>
        <v>#REF!</v>
      </c>
      <c r="AE135" s="34" t="e">
        <f>IF(#REF!,"AAAAAHt7rx4=",0)</f>
        <v>#REF!</v>
      </c>
      <c r="AF135" s="34" t="e">
        <f>AND(#REF!,"AAAAAHt7rx8=")</f>
        <v>#REF!</v>
      </c>
      <c r="AG135" s="34" t="e">
        <f>AND(#REF!,"AAAAAHt7ryA=")</f>
        <v>#REF!</v>
      </c>
      <c r="AH135" s="34" t="e">
        <f>AND(#REF!,"AAAAAHt7ryE=")</f>
        <v>#REF!</v>
      </c>
      <c r="AI135" s="34" t="e">
        <f>AND(#REF!,"AAAAAHt7ryI=")</f>
        <v>#REF!</v>
      </c>
      <c r="AJ135" s="34" t="e">
        <f>AND(#REF!,"AAAAAHt7ryM=")</f>
        <v>#REF!</v>
      </c>
      <c r="AK135" s="34" t="e">
        <f>AND(#REF!,"AAAAAHt7ryQ=")</f>
        <v>#REF!</v>
      </c>
      <c r="AL135" s="34" t="e">
        <f>AND(#REF!,"AAAAAHt7ryU=")</f>
        <v>#REF!</v>
      </c>
      <c r="AM135" s="34" t="e">
        <f>AND(#REF!,"AAAAAHt7ryY=")</f>
        <v>#REF!</v>
      </c>
      <c r="AN135" s="34" t="e">
        <f>AND(#REF!,"AAAAAHt7ryc=")</f>
        <v>#REF!</v>
      </c>
      <c r="AO135" s="34" t="e">
        <f>AND(#REF!,"AAAAAHt7ryg=")</f>
        <v>#REF!</v>
      </c>
      <c r="AP135" s="34" t="e">
        <f>AND(#REF!,"AAAAAHt7ryk=")</f>
        <v>#REF!</v>
      </c>
      <c r="AQ135" s="34" t="e">
        <f>AND(#REF!,"AAAAAHt7ryo=")</f>
        <v>#REF!</v>
      </c>
      <c r="AR135" s="34" t="e">
        <f>AND(#REF!,"AAAAAHt7rys=")</f>
        <v>#REF!</v>
      </c>
      <c r="AS135" s="34" t="e">
        <f>AND(#REF!,"AAAAAHt7ryw=")</f>
        <v>#REF!</v>
      </c>
      <c r="AT135" s="34" t="e">
        <f>AND(#REF!,"AAAAAHt7ry0=")</f>
        <v>#REF!</v>
      </c>
      <c r="AU135" s="34" t="e">
        <f>AND(#REF!,"AAAAAHt7ry4=")</f>
        <v>#REF!</v>
      </c>
      <c r="AV135" s="34" t="e">
        <f>AND(#REF!,"AAAAAHt7ry8=")</f>
        <v>#REF!</v>
      </c>
      <c r="AW135" s="34" t="e">
        <f>AND(#REF!,"AAAAAHt7rzA=")</f>
        <v>#REF!</v>
      </c>
      <c r="AX135" s="34" t="e">
        <f>AND(#REF!,"AAAAAHt7rzE=")</f>
        <v>#REF!</v>
      </c>
      <c r="AY135" s="34" t="e">
        <f>AND(#REF!,"AAAAAHt7rzI=")</f>
        <v>#REF!</v>
      </c>
      <c r="AZ135" s="34" t="e">
        <f>AND(#REF!,"AAAAAHt7rzM=")</f>
        <v>#REF!</v>
      </c>
      <c r="BA135" s="34" t="e">
        <f>AND(#REF!,"AAAAAHt7rzQ=")</f>
        <v>#REF!</v>
      </c>
      <c r="BB135" s="34" t="e">
        <f>AND(#REF!,"AAAAAHt7rzU=")</f>
        <v>#REF!</v>
      </c>
      <c r="BC135" s="34" t="e">
        <f>AND(#REF!,"AAAAAHt7rzY=")</f>
        <v>#REF!</v>
      </c>
      <c r="BD135" s="34" t="e">
        <f>AND(#REF!,"AAAAAHt7rzc=")</f>
        <v>#REF!</v>
      </c>
      <c r="BE135" s="34" t="e">
        <f>AND(#REF!,"AAAAAHt7rzg=")</f>
        <v>#REF!</v>
      </c>
      <c r="BF135" s="34" t="e">
        <f>AND(#REF!,"AAAAAHt7rzk=")</f>
        <v>#REF!</v>
      </c>
      <c r="BG135" s="34" t="e">
        <f>AND(#REF!,"AAAAAHt7rzo=")</f>
        <v>#REF!</v>
      </c>
      <c r="BH135" s="34" t="e">
        <f>AND(#REF!,"AAAAAHt7rzs=")</f>
        <v>#REF!</v>
      </c>
      <c r="BI135" s="34" t="e">
        <f>AND(#REF!,"AAAAAHt7rzw=")</f>
        <v>#REF!</v>
      </c>
      <c r="BJ135" s="34" t="e">
        <f>AND(#REF!,"AAAAAHt7rz0=")</f>
        <v>#REF!</v>
      </c>
      <c r="BK135" s="34" t="e">
        <f>AND(#REF!,"AAAAAHt7rz4=")</f>
        <v>#REF!</v>
      </c>
      <c r="BL135" s="34" t="e">
        <f>AND(#REF!,"AAAAAHt7rz8=")</f>
        <v>#REF!</v>
      </c>
      <c r="BM135" s="34" t="e">
        <f>AND(#REF!,"AAAAAHt7r0A=")</f>
        <v>#REF!</v>
      </c>
      <c r="BN135" s="34" t="e">
        <f>AND(#REF!,"AAAAAHt7r0E=")</f>
        <v>#REF!</v>
      </c>
      <c r="BO135" s="34" t="e">
        <f>AND(#REF!,"AAAAAHt7r0I=")</f>
        <v>#REF!</v>
      </c>
      <c r="BP135" s="34" t="e">
        <f>AND(#REF!,"AAAAAHt7r0M=")</f>
        <v>#REF!</v>
      </c>
      <c r="BQ135" s="34" t="e">
        <f>AND(#REF!,"AAAAAHt7r0Q=")</f>
        <v>#REF!</v>
      </c>
      <c r="BR135" s="34" t="e">
        <f>AND(#REF!,"AAAAAHt7r0U=")</f>
        <v>#REF!</v>
      </c>
      <c r="BS135" s="34" t="e">
        <f>AND(#REF!,"AAAAAHt7r0Y=")</f>
        <v>#REF!</v>
      </c>
      <c r="BT135" s="34" t="e">
        <f>AND(#REF!,"AAAAAHt7r0c=")</f>
        <v>#REF!</v>
      </c>
      <c r="BU135" s="34" t="e">
        <f>AND(#REF!,"AAAAAHt7r0g=")</f>
        <v>#REF!</v>
      </c>
      <c r="BV135" s="34" t="e">
        <f>IF(#REF!,"AAAAAHt7r0k=",0)</f>
        <v>#REF!</v>
      </c>
      <c r="BW135" s="34" t="e">
        <f>AND(#REF!,"AAAAAHt7r0o=")</f>
        <v>#REF!</v>
      </c>
      <c r="BX135" s="34" t="e">
        <f>AND(#REF!,"AAAAAHt7r0s=")</f>
        <v>#REF!</v>
      </c>
      <c r="BY135" s="34" t="e">
        <f>AND(#REF!,"AAAAAHt7r0w=")</f>
        <v>#REF!</v>
      </c>
      <c r="BZ135" s="34" t="e">
        <f>AND(#REF!,"AAAAAHt7r00=")</f>
        <v>#REF!</v>
      </c>
      <c r="CA135" s="34" t="e">
        <f>AND(#REF!,"AAAAAHt7r04=")</f>
        <v>#REF!</v>
      </c>
      <c r="CB135" s="34" t="e">
        <f>AND(#REF!,"AAAAAHt7r08=")</f>
        <v>#REF!</v>
      </c>
      <c r="CC135" s="34" t="e">
        <f>AND(#REF!,"AAAAAHt7r1A=")</f>
        <v>#REF!</v>
      </c>
      <c r="CD135" s="34" t="e">
        <f>AND(#REF!,"AAAAAHt7r1E=")</f>
        <v>#REF!</v>
      </c>
      <c r="CE135" s="34" t="e">
        <f>AND(#REF!,"AAAAAHt7r1I=")</f>
        <v>#REF!</v>
      </c>
      <c r="CF135" s="34" t="e">
        <f>AND(#REF!,"AAAAAHt7r1M=")</f>
        <v>#REF!</v>
      </c>
      <c r="CG135" s="34" t="e">
        <f>AND(#REF!,"AAAAAHt7r1Q=")</f>
        <v>#REF!</v>
      </c>
      <c r="CH135" s="34" t="e">
        <f>AND(#REF!,"AAAAAHt7r1U=")</f>
        <v>#REF!</v>
      </c>
      <c r="CI135" s="34" t="e">
        <f>AND(#REF!,"AAAAAHt7r1Y=")</f>
        <v>#REF!</v>
      </c>
      <c r="CJ135" s="34" t="e">
        <f>AND(#REF!,"AAAAAHt7r1c=")</f>
        <v>#REF!</v>
      </c>
      <c r="CK135" s="34" t="e">
        <f>AND(#REF!,"AAAAAHt7r1g=")</f>
        <v>#REF!</v>
      </c>
      <c r="CL135" s="34" t="e">
        <f>AND(#REF!,"AAAAAHt7r1k=")</f>
        <v>#REF!</v>
      </c>
      <c r="CM135" s="34" t="e">
        <f>AND(#REF!,"AAAAAHt7r1o=")</f>
        <v>#REF!</v>
      </c>
      <c r="CN135" s="34" t="e">
        <f>AND(#REF!,"AAAAAHt7r1s=")</f>
        <v>#REF!</v>
      </c>
      <c r="CO135" s="34" t="e">
        <f>AND(#REF!,"AAAAAHt7r1w=")</f>
        <v>#REF!</v>
      </c>
      <c r="CP135" s="34" t="e">
        <f>AND(#REF!,"AAAAAHt7r10=")</f>
        <v>#REF!</v>
      </c>
      <c r="CQ135" s="34" t="e">
        <f>AND(#REF!,"AAAAAHt7r14=")</f>
        <v>#REF!</v>
      </c>
      <c r="CR135" s="34" t="e">
        <f>AND(#REF!,"AAAAAHt7r18=")</f>
        <v>#REF!</v>
      </c>
      <c r="CS135" s="34" t="e">
        <f>AND(#REF!,"AAAAAHt7r2A=")</f>
        <v>#REF!</v>
      </c>
      <c r="CT135" s="34" t="e">
        <f>AND(#REF!,"AAAAAHt7r2E=")</f>
        <v>#REF!</v>
      </c>
      <c r="CU135" s="34" t="e">
        <f>AND(#REF!,"AAAAAHt7r2I=")</f>
        <v>#REF!</v>
      </c>
      <c r="CV135" s="34" t="e">
        <f>AND(#REF!,"AAAAAHt7r2M=")</f>
        <v>#REF!</v>
      </c>
      <c r="CW135" s="34" t="e">
        <f>AND(#REF!,"AAAAAHt7r2Q=")</f>
        <v>#REF!</v>
      </c>
      <c r="CX135" s="34" t="e">
        <f>AND(#REF!,"AAAAAHt7r2U=")</f>
        <v>#REF!</v>
      </c>
      <c r="CY135" s="34" t="e">
        <f>AND(#REF!,"AAAAAHt7r2Y=")</f>
        <v>#REF!</v>
      </c>
      <c r="CZ135" s="34" t="e">
        <f>AND(#REF!,"AAAAAHt7r2c=")</f>
        <v>#REF!</v>
      </c>
      <c r="DA135" s="34" t="e">
        <f>AND(#REF!,"AAAAAHt7r2g=")</f>
        <v>#REF!</v>
      </c>
      <c r="DB135" s="34" t="e">
        <f>AND(#REF!,"AAAAAHt7r2k=")</f>
        <v>#REF!</v>
      </c>
      <c r="DC135" s="34" t="e">
        <f>AND(#REF!,"AAAAAHt7r2o=")</f>
        <v>#REF!</v>
      </c>
      <c r="DD135" s="34" t="e">
        <f>AND(#REF!,"AAAAAHt7r2s=")</f>
        <v>#REF!</v>
      </c>
      <c r="DE135" s="34" t="e">
        <f>AND(#REF!,"AAAAAHt7r2w=")</f>
        <v>#REF!</v>
      </c>
      <c r="DF135" s="34" t="e">
        <f>AND(#REF!,"AAAAAHt7r20=")</f>
        <v>#REF!</v>
      </c>
      <c r="DG135" s="34" t="e">
        <f>AND(#REF!,"AAAAAHt7r24=")</f>
        <v>#REF!</v>
      </c>
      <c r="DH135" s="34" t="e">
        <f>AND(#REF!,"AAAAAHt7r28=")</f>
        <v>#REF!</v>
      </c>
      <c r="DI135" s="34" t="e">
        <f>AND(#REF!,"AAAAAHt7r3A=")</f>
        <v>#REF!</v>
      </c>
      <c r="DJ135" s="34" t="e">
        <f>AND(#REF!,"AAAAAHt7r3E=")</f>
        <v>#REF!</v>
      </c>
      <c r="DK135" s="34" t="e">
        <f>AND(#REF!,"AAAAAHt7r3I=")</f>
        <v>#REF!</v>
      </c>
      <c r="DL135" s="34" t="e">
        <f>AND(#REF!,"AAAAAHt7r3M=")</f>
        <v>#REF!</v>
      </c>
      <c r="DM135" s="34" t="e">
        <f>IF(#REF!,"AAAAAHt7r3Q=",0)</f>
        <v>#REF!</v>
      </c>
      <c r="DN135" s="34" t="e">
        <f>AND(#REF!,"AAAAAHt7r3U=")</f>
        <v>#REF!</v>
      </c>
      <c r="DO135" s="34" t="e">
        <f>AND(#REF!,"AAAAAHt7r3Y=")</f>
        <v>#REF!</v>
      </c>
      <c r="DP135" s="34" t="e">
        <f>AND(#REF!,"AAAAAHt7r3c=")</f>
        <v>#REF!</v>
      </c>
      <c r="DQ135" s="34" t="e">
        <f>AND(#REF!,"AAAAAHt7r3g=")</f>
        <v>#REF!</v>
      </c>
      <c r="DR135" s="34" t="e">
        <f>AND(#REF!,"AAAAAHt7r3k=")</f>
        <v>#REF!</v>
      </c>
      <c r="DS135" s="34" t="e">
        <f>AND(#REF!,"AAAAAHt7r3o=")</f>
        <v>#REF!</v>
      </c>
      <c r="DT135" s="34" t="e">
        <f>AND(#REF!,"AAAAAHt7r3s=")</f>
        <v>#REF!</v>
      </c>
      <c r="DU135" s="34" t="e">
        <f>AND(#REF!,"AAAAAHt7r3w=")</f>
        <v>#REF!</v>
      </c>
      <c r="DV135" s="34" t="e">
        <f>AND(#REF!,"AAAAAHt7r30=")</f>
        <v>#REF!</v>
      </c>
      <c r="DW135" s="34" t="e">
        <f>AND(#REF!,"AAAAAHt7r34=")</f>
        <v>#REF!</v>
      </c>
      <c r="DX135" s="34" t="e">
        <f>AND(#REF!,"AAAAAHt7r38=")</f>
        <v>#REF!</v>
      </c>
      <c r="DY135" s="34" t="e">
        <f>AND(#REF!,"AAAAAHt7r4A=")</f>
        <v>#REF!</v>
      </c>
      <c r="DZ135" s="34" t="e">
        <f>AND(#REF!,"AAAAAHt7r4E=")</f>
        <v>#REF!</v>
      </c>
      <c r="EA135" s="34" t="e">
        <f>AND(#REF!,"AAAAAHt7r4I=")</f>
        <v>#REF!</v>
      </c>
      <c r="EB135" s="34" t="e">
        <f>AND(#REF!,"AAAAAHt7r4M=")</f>
        <v>#REF!</v>
      </c>
      <c r="EC135" s="34" t="e">
        <f>AND(#REF!,"AAAAAHt7r4Q=")</f>
        <v>#REF!</v>
      </c>
      <c r="ED135" s="34" t="e">
        <f>AND(#REF!,"AAAAAHt7r4U=")</f>
        <v>#REF!</v>
      </c>
      <c r="EE135" s="34" t="e">
        <f>AND(#REF!,"AAAAAHt7r4Y=")</f>
        <v>#REF!</v>
      </c>
      <c r="EF135" s="34" t="e">
        <f>AND(#REF!,"AAAAAHt7r4c=")</f>
        <v>#REF!</v>
      </c>
      <c r="EG135" s="34" t="e">
        <f>AND(#REF!,"AAAAAHt7r4g=")</f>
        <v>#REF!</v>
      </c>
      <c r="EH135" s="34" t="e">
        <f>AND(#REF!,"AAAAAHt7r4k=")</f>
        <v>#REF!</v>
      </c>
      <c r="EI135" s="34" t="e">
        <f>AND(#REF!,"AAAAAHt7r4o=")</f>
        <v>#REF!</v>
      </c>
      <c r="EJ135" s="34" t="e">
        <f>AND(#REF!,"AAAAAHt7r4s=")</f>
        <v>#REF!</v>
      </c>
      <c r="EK135" s="34" t="e">
        <f>AND(#REF!,"AAAAAHt7r4w=")</f>
        <v>#REF!</v>
      </c>
      <c r="EL135" s="34" t="e">
        <f>AND(#REF!,"AAAAAHt7r40=")</f>
        <v>#REF!</v>
      </c>
      <c r="EM135" s="34" t="e">
        <f>AND(#REF!,"AAAAAHt7r44=")</f>
        <v>#REF!</v>
      </c>
      <c r="EN135" s="34" t="e">
        <f>AND(#REF!,"AAAAAHt7r48=")</f>
        <v>#REF!</v>
      </c>
      <c r="EO135" s="34" t="e">
        <f>AND(#REF!,"AAAAAHt7r5A=")</f>
        <v>#REF!</v>
      </c>
      <c r="EP135" s="34" t="e">
        <f>AND(#REF!,"AAAAAHt7r5E=")</f>
        <v>#REF!</v>
      </c>
      <c r="EQ135" s="34" t="e">
        <f>AND(#REF!,"AAAAAHt7r5I=")</f>
        <v>#REF!</v>
      </c>
      <c r="ER135" s="34" t="e">
        <f>AND(#REF!,"AAAAAHt7r5M=")</f>
        <v>#REF!</v>
      </c>
      <c r="ES135" s="34" t="e">
        <f>AND(#REF!,"AAAAAHt7r5Q=")</f>
        <v>#REF!</v>
      </c>
      <c r="ET135" s="34" t="e">
        <f>AND(#REF!,"AAAAAHt7r5U=")</f>
        <v>#REF!</v>
      </c>
      <c r="EU135" s="34" t="e">
        <f>AND(#REF!,"AAAAAHt7r5Y=")</f>
        <v>#REF!</v>
      </c>
      <c r="EV135" s="34" t="e">
        <f>AND(#REF!,"AAAAAHt7r5c=")</f>
        <v>#REF!</v>
      </c>
      <c r="EW135" s="34" t="e">
        <f>AND(#REF!,"AAAAAHt7r5g=")</f>
        <v>#REF!</v>
      </c>
      <c r="EX135" s="34" t="e">
        <f>AND(#REF!,"AAAAAHt7r5k=")</f>
        <v>#REF!</v>
      </c>
      <c r="EY135" s="34" t="e">
        <f>AND(#REF!,"AAAAAHt7r5o=")</f>
        <v>#REF!</v>
      </c>
      <c r="EZ135" s="34" t="e">
        <f>AND(#REF!,"AAAAAHt7r5s=")</f>
        <v>#REF!</v>
      </c>
      <c r="FA135" s="34" t="e">
        <f>AND(#REF!,"AAAAAHt7r5w=")</f>
        <v>#REF!</v>
      </c>
      <c r="FB135" s="34" t="e">
        <f>AND(#REF!,"AAAAAHt7r50=")</f>
        <v>#REF!</v>
      </c>
      <c r="FC135" s="34" t="e">
        <f>AND(#REF!,"AAAAAHt7r54=")</f>
        <v>#REF!</v>
      </c>
      <c r="FD135" s="34" t="e">
        <f>IF(#REF!,"AAAAAHt7r58=",0)</f>
        <v>#REF!</v>
      </c>
      <c r="FE135" s="34" t="e">
        <f>AND(#REF!,"AAAAAHt7r6A=")</f>
        <v>#REF!</v>
      </c>
      <c r="FF135" s="34" t="e">
        <f>AND(#REF!,"AAAAAHt7r6E=")</f>
        <v>#REF!</v>
      </c>
      <c r="FG135" s="34" t="e">
        <f>AND(#REF!,"AAAAAHt7r6I=")</f>
        <v>#REF!</v>
      </c>
      <c r="FH135" s="34" t="e">
        <f>AND(#REF!,"AAAAAHt7r6M=")</f>
        <v>#REF!</v>
      </c>
      <c r="FI135" s="34" t="e">
        <f>AND(#REF!,"AAAAAHt7r6Q=")</f>
        <v>#REF!</v>
      </c>
      <c r="FJ135" s="34" t="e">
        <f>AND(#REF!,"AAAAAHt7r6U=")</f>
        <v>#REF!</v>
      </c>
      <c r="FK135" s="34" t="e">
        <f>AND(#REF!,"AAAAAHt7r6Y=")</f>
        <v>#REF!</v>
      </c>
      <c r="FL135" s="34" t="e">
        <f>AND(#REF!,"AAAAAHt7r6c=")</f>
        <v>#REF!</v>
      </c>
      <c r="FM135" s="34" t="e">
        <f>AND(#REF!,"AAAAAHt7r6g=")</f>
        <v>#REF!</v>
      </c>
      <c r="FN135" s="34" t="e">
        <f>AND(#REF!,"AAAAAHt7r6k=")</f>
        <v>#REF!</v>
      </c>
      <c r="FO135" s="34" t="e">
        <f>AND(#REF!,"AAAAAHt7r6o=")</f>
        <v>#REF!</v>
      </c>
      <c r="FP135" s="34" t="e">
        <f>AND(#REF!,"AAAAAHt7r6s=")</f>
        <v>#REF!</v>
      </c>
      <c r="FQ135" s="34" t="e">
        <f>AND(#REF!,"AAAAAHt7r6w=")</f>
        <v>#REF!</v>
      </c>
      <c r="FR135" s="34" t="e">
        <f>AND(#REF!,"AAAAAHt7r60=")</f>
        <v>#REF!</v>
      </c>
      <c r="FS135" s="34" t="e">
        <f>AND(#REF!,"AAAAAHt7r64=")</f>
        <v>#REF!</v>
      </c>
      <c r="FT135" s="34" t="e">
        <f>AND(#REF!,"AAAAAHt7r68=")</f>
        <v>#REF!</v>
      </c>
      <c r="FU135" s="34" t="e">
        <f>AND(#REF!,"AAAAAHt7r7A=")</f>
        <v>#REF!</v>
      </c>
      <c r="FV135" s="34" t="e">
        <f>AND(#REF!,"AAAAAHt7r7E=")</f>
        <v>#REF!</v>
      </c>
      <c r="FW135" s="34" t="e">
        <f>AND(#REF!,"AAAAAHt7r7I=")</f>
        <v>#REF!</v>
      </c>
      <c r="FX135" s="34" t="e">
        <f>AND(#REF!,"AAAAAHt7r7M=")</f>
        <v>#REF!</v>
      </c>
      <c r="FY135" s="34" t="e">
        <f>AND(#REF!,"AAAAAHt7r7Q=")</f>
        <v>#REF!</v>
      </c>
      <c r="FZ135" s="34" t="e">
        <f>AND(#REF!,"AAAAAHt7r7U=")</f>
        <v>#REF!</v>
      </c>
      <c r="GA135" s="34" t="e">
        <f>AND(#REF!,"AAAAAHt7r7Y=")</f>
        <v>#REF!</v>
      </c>
      <c r="GB135" s="34" t="e">
        <f>AND(#REF!,"AAAAAHt7r7c=")</f>
        <v>#REF!</v>
      </c>
      <c r="GC135" s="34" t="e">
        <f>AND(#REF!,"AAAAAHt7r7g=")</f>
        <v>#REF!</v>
      </c>
      <c r="GD135" s="34" t="e">
        <f>AND(#REF!,"AAAAAHt7r7k=")</f>
        <v>#REF!</v>
      </c>
      <c r="GE135" s="34" t="e">
        <f>AND(#REF!,"AAAAAHt7r7o=")</f>
        <v>#REF!</v>
      </c>
      <c r="GF135" s="34" t="e">
        <f>AND(#REF!,"AAAAAHt7r7s=")</f>
        <v>#REF!</v>
      </c>
      <c r="GG135" s="34" t="e">
        <f>AND(#REF!,"AAAAAHt7r7w=")</f>
        <v>#REF!</v>
      </c>
      <c r="GH135" s="34" t="e">
        <f>AND(#REF!,"AAAAAHt7r70=")</f>
        <v>#REF!</v>
      </c>
      <c r="GI135" s="34" t="e">
        <f>AND(#REF!,"AAAAAHt7r74=")</f>
        <v>#REF!</v>
      </c>
      <c r="GJ135" s="34" t="e">
        <f>AND(#REF!,"AAAAAHt7r78=")</f>
        <v>#REF!</v>
      </c>
      <c r="GK135" s="34" t="e">
        <f>AND(#REF!,"AAAAAHt7r8A=")</f>
        <v>#REF!</v>
      </c>
      <c r="GL135" s="34" t="e">
        <f>AND(#REF!,"AAAAAHt7r8E=")</f>
        <v>#REF!</v>
      </c>
      <c r="GM135" s="34" t="e">
        <f>AND(#REF!,"AAAAAHt7r8I=")</f>
        <v>#REF!</v>
      </c>
      <c r="GN135" s="34" t="e">
        <f>AND(#REF!,"AAAAAHt7r8M=")</f>
        <v>#REF!</v>
      </c>
      <c r="GO135" s="34" t="e">
        <f>AND(#REF!,"AAAAAHt7r8Q=")</f>
        <v>#REF!</v>
      </c>
      <c r="GP135" s="34" t="e">
        <f>AND(#REF!,"AAAAAHt7r8U=")</f>
        <v>#REF!</v>
      </c>
      <c r="GQ135" s="34" t="e">
        <f>AND(#REF!,"AAAAAHt7r8Y=")</f>
        <v>#REF!</v>
      </c>
      <c r="GR135" s="34" t="e">
        <f>AND(#REF!,"AAAAAHt7r8c=")</f>
        <v>#REF!</v>
      </c>
      <c r="GS135" s="34" t="e">
        <f>AND(#REF!,"AAAAAHt7r8g=")</f>
        <v>#REF!</v>
      </c>
      <c r="GT135" s="34" t="e">
        <f>AND(#REF!,"AAAAAHt7r8k=")</f>
        <v>#REF!</v>
      </c>
      <c r="GU135" s="34" t="e">
        <f>IF(#REF!,"AAAAAHt7r8o=",0)</f>
        <v>#REF!</v>
      </c>
      <c r="GV135" s="34" t="e">
        <f>AND(#REF!,"AAAAAHt7r8s=")</f>
        <v>#REF!</v>
      </c>
      <c r="GW135" s="34" t="e">
        <f>AND(#REF!,"AAAAAHt7r8w=")</f>
        <v>#REF!</v>
      </c>
      <c r="GX135" s="34" t="e">
        <f>AND(#REF!,"AAAAAHt7r80=")</f>
        <v>#REF!</v>
      </c>
      <c r="GY135" s="34" t="e">
        <f>AND(#REF!,"AAAAAHt7r84=")</f>
        <v>#REF!</v>
      </c>
      <c r="GZ135" s="34" t="e">
        <f>AND(#REF!,"AAAAAHt7r88=")</f>
        <v>#REF!</v>
      </c>
      <c r="HA135" s="34" t="e">
        <f>AND(#REF!,"AAAAAHt7r9A=")</f>
        <v>#REF!</v>
      </c>
      <c r="HB135" s="34" t="e">
        <f>AND(#REF!,"AAAAAHt7r9E=")</f>
        <v>#REF!</v>
      </c>
      <c r="HC135" s="34" t="e">
        <f>AND(#REF!,"AAAAAHt7r9I=")</f>
        <v>#REF!</v>
      </c>
      <c r="HD135" s="34" t="e">
        <f>AND(#REF!,"AAAAAHt7r9M=")</f>
        <v>#REF!</v>
      </c>
      <c r="HE135" s="34" t="e">
        <f>AND(#REF!,"AAAAAHt7r9Q=")</f>
        <v>#REF!</v>
      </c>
      <c r="HF135" s="34" t="e">
        <f>AND(#REF!,"AAAAAHt7r9U=")</f>
        <v>#REF!</v>
      </c>
      <c r="HG135" s="34" t="e">
        <f>AND(#REF!,"AAAAAHt7r9Y=")</f>
        <v>#REF!</v>
      </c>
      <c r="HH135" s="34" t="e">
        <f>AND(#REF!,"AAAAAHt7r9c=")</f>
        <v>#REF!</v>
      </c>
      <c r="HI135" s="34" t="e">
        <f>AND(#REF!,"AAAAAHt7r9g=")</f>
        <v>#REF!</v>
      </c>
      <c r="HJ135" s="34" t="e">
        <f>AND(#REF!,"AAAAAHt7r9k=")</f>
        <v>#REF!</v>
      </c>
      <c r="HK135" s="34" t="e">
        <f>AND(#REF!,"AAAAAHt7r9o=")</f>
        <v>#REF!</v>
      </c>
      <c r="HL135" s="34" t="e">
        <f>AND(#REF!,"AAAAAHt7r9s=")</f>
        <v>#REF!</v>
      </c>
      <c r="HM135" s="34" t="e">
        <f>AND(#REF!,"AAAAAHt7r9w=")</f>
        <v>#REF!</v>
      </c>
      <c r="HN135" s="34" t="e">
        <f>AND(#REF!,"AAAAAHt7r90=")</f>
        <v>#REF!</v>
      </c>
      <c r="HO135" s="34" t="e">
        <f>AND(#REF!,"AAAAAHt7r94=")</f>
        <v>#REF!</v>
      </c>
      <c r="HP135" s="34" t="e">
        <f>AND(#REF!,"AAAAAHt7r98=")</f>
        <v>#REF!</v>
      </c>
      <c r="HQ135" s="34" t="e">
        <f>AND(#REF!,"AAAAAHt7r+A=")</f>
        <v>#REF!</v>
      </c>
      <c r="HR135" s="34" t="e">
        <f>AND(#REF!,"AAAAAHt7r+E=")</f>
        <v>#REF!</v>
      </c>
      <c r="HS135" s="34" t="e">
        <f>AND(#REF!,"AAAAAHt7r+I=")</f>
        <v>#REF!</v>
      </c>
      <c r="HT135" s="34" t="e">
        <f>AND(#REF!,"AAAAAHt7r+M=")</f>
        <v>#REF!</v>
      </c>
      <c r="HU135" s="34" t="e">
        <f>AND(#REF!,"AAAAAHt7r+Q=")</f>
        <v>#REF!</v>
      </c>
      <c r="HV135" s="34" t="e">
        <f>AND(#REF!,"AAAAAHt7r+U=")</f>
        <v>#REF!</v>
      </c>
      <c r="HW135" s="34" t="e">
        <f>AND(#REF!,"AAAAAHt7r+Y=")</f>
        <v>#REF!</v>
      </c>
      <c r="HX135" s="34" t="e">
        <f>AND(#REF!,"AAAAAHt7r+c=")</f>
        <v>#REF!</v>
      </c>
      <c r="HY135" s="34" t="e">
        <f>AND(#REF!,"AAAAAHt7r+g=")</f>
        <v>#REF!</v>
      </c>
      <c r="HZ135" s="34" t="e">
        <f>AND(#REF!,"AAAAAHt7r+k=")</f>
        <v>#REF!</v>
      </c>
      <c r="IA135" s="34" t="e">
        <f>AND(#REF!,"AAAAAHt7r+o=")</f>
        <v>#REF!</v>
      </c>
      <c r="IB135" s="34" t="e">
        <f>AND(#REF!,"AAAAAHt7r+s=")</f>
        <v>#REF!</v>
      </c>
      <c r="IC135" s="34" t="e">
        <f>AND(#REF!,"AAAAAHt7r+w=")</f>
        <v>#REF!</v>
      </c>
      <c r="ID135" s="34" t="e">
        <f>AND(#REF!,"AAAAAHt7r+0=")</f>
        <v>#REF!</v>
      </c>
      <c r="IE135" s="34" t="e">
        <f>AND(#REF!,"AAAAAHt7r+4=")</f>
        <v>#REF!</v>
      </c>
      <c r="IF135" s="34" t="e">
        <f>AND(#REF!,"AAAAAHt7r+8=")</f>
        <v>#REF!</v>
      </c>
      <c r="IG135" s="34" t="e">
        <f>AND(#REF!,"AAAAAHt7r/A=")</f>
        <v>#REF!</v>
      </c>
      <c r="IH135" s="34" t="e">
        <f>AND(#REF!,"AAAAAHt7r/E=")</f>
        <v>#REF!</v>
      </c>
      <c r="II135" s="34" t="e">
        <f>AND(#REF!,"AAAAAHt7r/I=")</f>
        <v>#REF!</v>
      </c>
      <c r="IJ135" s="34" t="e">
        <f>AND(#REF!,"AAAAAHt7r/M=")</f>
        <v>#REF!</v>
      </c>
      <c r="IK135" s="34" t="e">
        <f>AND(#REF!,"AAAAAHt7r/Q=")</f>
        <v>#REF!</v>
      </c>
      <c r="IL135" s="34" t="e">
        <f>IF(#REF!,"AAAAAHt7r/U=",0)</f>
        <v>#REF!</v>
      </c>
      <c r="IM135" s="34" t="e">
        <f>AND(#REF!,"AAAAAHt7r/Y=")</f>
        <v>#REF!</v>
      </c>
      <c r="IN135" s="34" t="e">
        <f>AND(#REF!,"AAAAAHt7r/c=")</f>
        <v>#REF!</v>
      </c>
      <c r="IO135" s="34" t="e">
        <f>AND(#REF!,"AAAAAHt7r/g=")</f>
        <v>#REF!</v>
      </c>
      <c r="IP135" s="34" t="e">
        <f>AND(#REF!,"AAAAAHt7r/k=")</f>
        <v>#REF!</v>
      </c>
      <c r="IQ135" s="34" t="e">
        <f>AND(#REF!,"AAAAAHt7r/o=")</f>
        <v>#REF!</v>
      </c>
      <c r="IR135" s="34" t="e">
        <f>AND(#REF!,"AAAAAHt7r/s=")</f>
        <v>#REF!</v>
      </c>
      <c r="IS135" s="34" t="e">
        <f>AND(#REF!,"AAAAAHt7r/w=")</f>
        <v>#REF!</v>
      </c>
      <c r="IT135" s="34" t="e">
        <f>AND(#REF!,"AAAAAHt7r/0=")</f>
        <v>#REF!</v>
      </c>
      <c r="IU135" s="34" t="e">
        <f>AND(#REF!,"AAAAAHt7r/4=")</f>
        <v>#REF!</v>
      </c>
      <c r="IV135" s="34" t="e">
        <f>AND(#REF!,"AAAAAHt7r/8=")</f>
        <v>#REF!</v>
      </c>
    </row>
    <row r="136" spans="1:256" ht="12.75" customHeight="1" x14ac:dyDescent="0.2">
      <c r="A136" s="34" t="e">
        <f>AND(#REF!,"AAAAAHzN9QA=")</f>
        <v>#REF!</v>
      </c>
      <c r="B136" s="34" t="e">
        <f>AND(#REF!,"AAAAAHzN9QE=")</f>
        <v>#REF!</v>
      </c>
      <c r="C136" s="34" t="e">
        <f>AND(#REF!,"AAAAAHzN9QI=")</f>
        <v>#REF!</v>
      </c>
      <c r="D136" s="34" t="e">
        <f>AND(#REF!,"AAAAAHzN9QM=")</f>
        <v>#REF!</v>
      </c>
      <c r="E136" s="34" t="e">
        <f>AND(#REF!,"AAAAAHzN9QQ=")</f>
        <v>#REF!</v>
      </c>
      <c r="F136" s="34" t="e">
        <f>AND(#REF!,"AAAAAHzN9QU=")</f>
        <v>#REF!</v>
      </c>
      <c r="G136" s="34" t="e">
        <f>AND(#REF!,"AAAAAHzN9QY=")</f>
        <v>#REF!</v>
      </c>
      <c r="H136" s="34" t="e">
        <f>AND(#REF!,"AAAAAHzN9Qc=")</f>
        <v>#REF!</v>
      </c>
      <c r="I136" s="34" t="e">
        <f>AND(#REF!,"AAAAAHzN9Qg=")</f>
        <v>#REF!</v>
      </c>
      <c r="J136" s="34" t="e">
        <f>AND(#REF!,"AAAAAHzN9Qk=")</f>
        <v>#REF!</v>
      </c>
      <c r="K136" s="34" t="e">
        <f>AND(#REF!,"AAAAAHzN9Qo=")</f>
        <v>#REF!</v>
      </c>
      <c r="L136" s="34" t="e">
        <f>AND(#REF!,"AAAAAHzN9Qs=")</f>
        <v>#REF!</v>
      </c>
      <c r="M136" s="34" t="e">
        <f>AND(#REF!,"AAAAAHzN9Qw=")</f>
        <v>#REF!</v>
      </c>
      <c r="N136" s="34" t="e">
        <f>AND(#REF!,"AAAAAHzN9Q0=")</f>
        <v>#REF!</v>
      </c>
      <c r="O136" s="34" t="e">
        <f>AND(#REF!,"AAAAAHzN9Q4=")</f>
        <v>#REF!</v>
      </c>
      <c r="P136" s="34" t="e">
        <f>AND(#REF!,"AAAAAHzN9Q8=")</f>
        <v>#REF!</v>
      </c>
      <c r="Q136" s="34" t="e">
        <f>AND(#REF!,"AAAAAHzN9RA=")</f>
        <v>#REF!</v>
      </c>
      <c r="R136" s="34" t="e">
        <f>AND(#REF!,"AAAAAHzN9RE=")</f>
        <v>#REF!</v>
      </c>
      <c r="S136" s="34" t="e">
        <f>AND(#REF!,"AAAAAHzN9RI=")</f>
        <v>#REF!</v>
      </c>
      <c r="T136" s="34" t="e">
        <f>AND(#REF!,"AAAAAHzN9RM=")</f>
        <v>#REF!</v>
      </c>
      <c r="U136" s="34" t="e">
        <f>AND(#REF!,"AAAAAHzN9RQ=")</f>
        <v>#REF!</v>
      </c>
      <c r="V136" s="34" t="e">
        <f>AND(#REF!,"AAAAAHzN9RU=")</f>
        <v>#REF!</v>
      </c>
      <c r="W136" s="34" t="e">
        <f>AND(#REF!,"AAAAAHzN9RY=")</f>
        <v>#REF!</v>
      </c>
      <c r="X136" s="34" t="e">
        <f>AND(#REF!,"AAAAAHzN9Rc=")</f>
        <v>#REF!</v>
      </c>
      <c r="Y136" s="34" t="e">
        <f>AND(#REF!,"AAAAAHzN9Rg=")</f>
        <v>#REF!</v>
      </c>
      <c r="Z136" s="34" t="e">
        <f>AND(#REF!,"AAAAAHzN9Rk=")</f>
        <v>#REF!</v>
      </c>
      <c r="AA136" s="34" t="e">
        <f>AND(#REF!,"AAAAAHzN9Ro=")</f>
        <v>#REF!</v>
      </c>
      <c r="AB136" s="34" t="e">
        <f>AND(#REF!,"AAAAAHzN9Rs=")</f>
        <v>#REF!</v>
      </c>
      <c r="AC136" s="34" t="e">
        <f>AND(#REF!,"AAAAAHzN9Rw=")</f>
        <v>#REF!</v>
      </c>
      <c r="AD136" s="34" t="e">
        <f>AND(#REF!,"AAAAAHzN9R0=")</f>
        <v>#REF!</v>
      </c>
      <c r="AE136" s="34" t="e">
        <f>AND(#REF!,"AAAAAHzN9R4=")</f>
        <v>#REF!</v>
      </c>
      <c r="AF136" s="34" t="e">
        <f>AND(#REF!,"AAAAAHzN9R8=")</f>
        <v>#REF!</v>
      </c>
      <c r="AG136" s="34" t="e">
        <f>IF(#REF!,"AAAAAHzN9SA=",0)</f>
        <v>#REF!</v>
      </c>
      <c r="AH136" s="34" t="e">
        <f>AND(#REF!,"AAAAAHzN9SE=")</f>
        <v>#REF!</v>
      </c>
      <c r="AI136" s="34" t="e">
        <f>AND(#REF!,"AAAAAHzN9SI=")</f>
        <v>#REF!</v>
      </c>
      <c r="AJ136" s="34" t="e">
        <f>AND(#REF!,"AAAAAHzN9SM=")</f>
        <v>#REF!</v>
      </c>
      <c r="AK136" s="34" t="e">
        <f>AND(#REF!,"AAAAAHzN9SQ=")</f>
        <v>#REF!</v>
      </c>
      <c r="AL136" s="34" t="e">
        <f>AND(#REF!,"AAAAAHzN9SU=")</f>
        <v>#REF!</v>
      </c>
      <c r="AM136" s="34" t="e">
        <f>AND(#REF!,"AAAAAHzN9SY=")</f>
        <v>#REF!</v>
      </c>
      <c r="AN136" s="34" t="e">
        <f>AND(#REF!,"AAAAAHzN9Sc=")</f>
        <v>#REF!</v>
      </c>
      <c r="AO136" s="34" t="e">
        <f>AND(#REF!,"AAAAAHzN9Sg=")</f>
        <v>#REF!</v>
      </c>
      <c r="AP136" s="34" t="e">
        <f>AND(#REF!,"AAAAAHzN9Sk=")</f>
        <v>#REF!</v>
      </c>
      <c r="AQ136" s="34" t="e">
        <f>AND(#REF!,"AAAAAHzN9So=")</f>
        <v>#REF!</v>
      </c>
      <c r="AR136" s="34" t="e">
        <f>AND(#REF!,"AAAAAHzN9Ss=")</f>
        <v>#REF!</v>
      </c>
      <c r="AS136" s="34" t="e">
        <f>AND(#REF!,"AAAAAHzN9Sw=")</f>
        <v>#REF!</v>
      </c>
      <c r="AT136" s="34" t="e">
        <f>AND(#REF!,"AAAAAHzN9S0=")</f>
        <v>#REF!</v>
      </c>
      <c r="AU136" s="34" t="e">
        <f>AND(#REF!,"AAAAAHzN9S4=")</f>
        <v>#REF!</v>
      </c>
      <c r="AV136" s="34" t="e">
        <f>AND(#REF!,"AAAAAHzN9S8=")</f>
        <v>#REF!</v>
      </c>
      <c r="AW136" s="34" t="e">
        <f>AND(#REF!,"AAAAAHzN9TA=")</f>
        <v>#REF!</v>
      </c>
      <c r="AX136" s="34" t="e">
        <f>AND(#REF!,"AAAAAHzN9TE=")</f>
        <v>#REF!</v>
      </c>
      <c r="AY136" s="34" t="e">
        <f>AND(#REF!,"AAAAAHzN9TI=")</f>
        <v>#REF!</v>
      </c>
      <c r="AZ136" s="34" t="e">
        <f>AND(#REF!,"AAAAAHzN9TM=")</f>
        <v>#REF!</v>
      </c>
      <c r="BA136" s="34" t="e">
        <f>AND(#REF!,"AAAAAHzN9TQ=")</f>
        <v>#REF!</v>
      </c>
      <c r="BB136" s="34" t="e">
        <f>AND(#REF!,"AAAAAHzN9TU=")</f>
        <v>#REF!</v>
      </c>
      <c r="BC136" s="34" t="e">
        <f>AND(#REF!,"AAAAAHzN9TY=")</f>
        <v>#REF!</v>
      </c>
      <c r="BD136" s="34" t="e">
        <f>AND(#REF!,"AAAAAHzN9Tc=")</f>
        <v>#REF!</v>
      </c>
      <c r="BE136" s="34" t="e">
        <f>AND(#REF!,"AAAAAHzN9Tg=")</f>
        <v>#REF!</v>
      </c>
      <c r="BF136" s="34" t="e">
        <f>AND(#REF!,"AAAAAHzN9Tk=")</f>
        <v>#REF!</v>
      </c>
      <c r="BG136" s="34" t="e">
        <f>AND(#REF!,"AAAAAHzN9To=")</f>
        <v>#REF!</v>
      </c>
      <c r="BH136" s="34" t="e">
        <f>AND(#REF!,"AAAAAHzN9Ts=")</f>
        <v>#REF!</v>
      </c>
      <c r="BI136" s="34" t="e">
        <f>AND(#REF!,"AAAAAHzN9Tw=")</f>
        <v>#REF!</v>
      </c>
      <c r="BJ136" s="34" t="e">
        <f>AND(#REF!,"AAAAAHzN9T0=")</f>
        <v>#REF!</v>
      </c>
      <c r="BK136" s="34" t="e">
        <f>AND(#REF!,"AAAAAHzN9T4=")</f>
        <v>#REF!</v>
      </c>
      <c r="BL136" s="34" t="e">
        <f>AND(#REF!,"AAAAAHzN9T8=")</f>
        <v>#REF!</v>
      </c>
      <c r="BM136" s="34" t="e">
        <f>AND(#REF!,"AAAAAHzN9UA=")</f>
        <v>#REF!</v>
      </c>
      <c r="BN136" s="34" t="e">
        <f>AND(#REF!,"AAAAAHzN9UE=")</f>
        <v>#REF!</v>
      </c>
      <c r="BO136" s="34" t="e">
        <f>AND(#REF!,"AAAAAHzN9UI=")</f>
        <v>#REF!</v>
      </c>
      <c r="BP136" s="34" t="e">
        <f>AND(#REF!,"AAAAAHzN9UM=")</f>
        <v>#REF!</v>
      </c>
      <c r="BQ136" s="34" t="e">
        <f>AND(#REF!,"AAAAAHzN9UQ=")</f>
        <v>#REF!</v>
      </c>
      <c r="BR136" s="34" t="e">
        <f>AND(#REF!,"AAAAAHzN9UU=")</f>
        <v>#REF!</v>
      </c>
      <c r="BS136" s="34" t="e">
        <f>AND(#REF!,"AAAAAHzN9UY=")</f>
        <v>#REF!</v>
      </c>
      <c r="BT136" s="34" t="e">
        <f>AND(#REF!,"AAAAAHzN9Uc=")</f>
        <v>#REF!</v>
      </c>
      <c r="BU136" s="34" t="e">
        <f>AND(#REF!,"AAAAAHzN9Ug=")</f>
        <v>#REF!</v>
      </c>
      <c r="BV136" s="34" t="e">
        <f>AND(#REF!,"AAAAAHzN9Uk=")</f>
        <v>#REF!</v>
      </c>
      <c r="BW136" s="34" t="e">
        <f>AND(#REF!,"AAAAAHzN9Uo=")</f>
        <v>#REF!</v>
      </c>
      <c r="BX136" s="34" t="e">
        <f>IF(#REF!,"AAAAAHzN9Us=",0)</f>
        <v>#REF!</v>
      </c>
      <c r="BY136" s="34" t="e">
        <f>AND(#REF!,"AAAAAHzN9Uw=")</f>
        <v>#REF!</v>
      </c>
      <c r="BZ136" s="34" t="e">
        <f>AND(#REF!,"AAAAAHzN9U0=")</f>
        <v>#REF!</v>
      </c>
      <c r="CA136" s="34" t="e">
        <f>AND(#REF!,"AAAAAHzN9U4=")</f>
        <v>#REF!</v>
      </c>
      <c r="CB136" s="34" t="e">
        <f>AND(#REF!,"AAAAAHzN9U8=")</f>
        <v>#REF!</v>
      </c>
      <c r="CC136" s="34" t="e">
        <f>AND(#REF!,"AAAAAHzN9VA=")</f>
        <v>#REF!</v>
      </c>
      <c r="CD136" s="34" t="e">
        <f>AND(#REF!,"AAAAAHzN9VE=")</f>
        <v>#REF!</v>
      </c>
      <c r="CE136" s="34" t="e">
        <f>AND(#REF!,"AAAAAHzN9VI=")</f>
        <v>#REF!</v>
      </c>
      <c r="CF136" s="34" t="e">
        <f>AND(#REF!,"AAAAAHzN9VM=")</f>
        <v>#REF!</v>
      </c>
      <c r="CG136" s="34" t="e">
        <f>AND(#REF!,"AAAAAHzN9VQ=")</f>
        <v>#REF!</v>
      </c>
      <c r="CH136" s="34" t="e">
        <f>AND(#REF!,"AAAAAHzN9VU=")</f>
        <v>#REF!</v>
      </c>
      <c r="CI136" s="34" t="e">
        <f>AND(#REF!,"AAAAAHzN9VY=")</f>
        <v>#REF!</v>
      </c>
      <c r="CJ136" s="34" t="e">
        <f>AND(#REF!,"AAAAAHzN9Vc=")</f>
        <v>#REF!</v>
      </c>
      <c r="CK136" s="34" t="e">
        <f>AND(#REF!,"AAAAAHzN9Vg=")</f>
        <v>#REF!</v>
      </c>
      <c r="CL136" s="34" t="e">
        <f>AND(#REF!,"AAAAAHzN9Vk=")</f>
        <v>#REF!</v>
      </c>
      <c r="CM136" s="34" t="e">
        <f>AND(#REF!,"AAAAAHzN9Vo=")</f>
        <v>#REF!</v>
      </c>
      <c r="CN136" s="34" t="e">
        <f>AND(#REF!,"AAAAAHzN9Vs=")</f>
        <v>#REF!</v>
      </c>
      <c r="CO136" s="34" t="e">
        <f>AND(#REF!,"AAAAAHzN9Vw=")</f>
        <v>#REF!</v>
      </c>
      <c r="CP136" s="34" t="e">
        <f>AND(#REF!,"AAAAAHzN9V0=")</f>
        <v>#REF!</v>
      </c>
      <c r="CQ136" s="34" t="e">
        <f>AND(#REF!,"AAAAAHzN9V4=")</f>
        <v>#REF!</v>
      </c>
      <c r="CR136" s="34" t="e">
        <f>AND(#REF!,"AAAAAHzN9V8=")</f>
        <v>#REF!</v>
      </c>
      <c r="CS136" s="34" t="e">
        <f>AND(#REF!,"AAAAAHzN9WA=")</f>
        <v>#REF!</v>
      </c>
      <c r="CT136" s="34" t="e">
        <f>AND(#REF!,"AAAAAHzN9WE=")</f>
        <v>#REF!</v>
      </c>
      <c r="CU136" s="34" t="e">
        <f>AND(#REF!,"AAAAAHzN9WI=")</f>
        <v>#REF!</v>
      </c>
      <c r="CV136" s="34" t="e">
        <f>AND(#REF!,"AAAAAHzN9WM=")</f>
        <v>#REF!</v>
      </c>
      <c r="CW136" s="34" t="e">
        <f>AND(#REF!,"AAAAAHzN9WQ=")</f>
        <v>#REF!</v>
      </c>
      <c r="CX136" s="34" t="e">
        <f>AND(#REF!,"AAAAAHzN9WU=")</f>
        <v>#REF!</v>
      </c>
      <c r="CY136" s="34" t="e">
        <f>AND(#REF!,"AAAAAHzN9WY=")</f>
        <v>#REF!</v>
      </c>
      <c r="CZ136" s="34" t="e">
        <f>AND(#REF!,"AAAAAHzN9Wc=")</f>
        <v>#REF!</v>
      </c>
      <c r="DA136" s="34" t="e">
        <f>AND(#REF!,"AAAAAHzN9Wg=")</f>
        <v>#REF!</v>
      </c>
      <c r="DB136" s="34" t="e">
        <f>AND(#REF!,"AAAAAHzN9Wk=")</f>
        <v>#REF!</v>
      </c>
      <c r="DC136" s="34" t="e">
        <f>AND(#REF!,"AAAAAHzN9Wo=")</f>
        <v>#REF!</v>
      </c>
      <c r="DD136" s="34" t="e">
        <f>AND(#REF!,"AAAAAHzN9Ws=")</f>
        <v>#REF!</v>
      </c>
      <c r="DE136" s="34" t="e">
        <f>AND(#REF!,"AAAAAHzN9Ww=")</f>
        <v>#REF!</v>
      </c>
      <c r="DF136" s="34" t="e">
        <f>AND(#REF!,"AAAAAHzN9W0=")</f>
        <v>#REF!</v>
      </c>
      <c r="DG136" s="34" t="e">
        <f>AND(#REF!,"AAAAAHzN9W4=")</f>
        <v>#REF!</v>
      </c>
      <c r="DH136" s="34" t="e">
        <f>AND(#REF!,"AAAAAHzN9W8=")</f>
        <v>#REF!</v>
      </c>
      <c r="DI136" s="34" t="e">
        <f>AND(#REF!,"AAAAAHzN9XA=")</f>
        <v>#REF!</v>
      </c>
      <c r="DJ136" s="34" t="e">
        <f>AND(#REF!,"AAAAAHzN9XE=")</f>
        <v>#REF!</v>
      </c>
      <c r="DK136" s="34" t="e">
        <f>AND(#REF!,"AAAAAHzN9XI=")</f>
        <v>#REF!</v>
      </c>
      <c r="DL136" s="34" t="e">
        <f>AND(#REF!,"AAAAAHzN9XM=")</f>
        <v>#REF!</v>
      </c>
      <c r="DM136" s="34" t="e">
        <f>AND(#REF!,"AAAAAHzN9XQ=")</f>
        <v>#REF!</v>
      </c>
      <c r="DN136" s="34" t="e">
        <f>AND(#REF!,"AAAAAHzN9XU=")</f>
        <v>#REF!</v>
      </c>
      <c r="DO136" s="34" t="e">
        <f>IF(#REF!,"AAAAAHzN9XY=",0)</f>
        <v>#REF!</v>
      </c>
      <c r="DP136" s="34" t="e">
        <f>AND(#REF!,"AAAAAHzN9Xc=")</f>
        <v>#REF!</v>
      </c>
      <c r="DQ136" s="34" t="e">
        <f>AND(#REF!,"AAAAAHzN9Xg=")</f>
        <v>#REF!</v>
      </c>
      <c r="DR136" s="34" t="e">
        <f>AND(#REF!,"AAAAAHzN9Xk=")</f>
        <v>#REF!</v>
      </c>
      <c r="DS136" s="34" t="e">
        <f>AND(#REF!,"AAAAAHzN9Xo=")</f>
        <v>#REF!</v>
      </c>
      <c r="DT136" s="34" t="e">
        <f>AND(#REF!,"AAAAAHzN9Xs=")</f>
        <v>#REF!</v>
      </c>
      <c r="DU136" s="34" t="e">
        <f>AND(#REF!,"AAAAAHzN9Xw=")</f>
        <v>#REF!</v>
      </c>
      <c r="DV136" s="34" t="e">
        <f>AND(#REF!,"AAAAAHzN9X0=")</f>
        <v>#REF!</v>
      </c>
      <c r="DW136" s="34" t="e">
        <f>AND(#REF!,"AAAAAHzN9X4=")</f>
        <v>#REF!</v>
      </c>
      <c r="DX136" s="34" t="e">
        <f>AND(#REF!,"AAAAAHzN9X8=")</f>
        <v>#REF!</v>
      </c>
      <c r="DY136" s="34" t="e">
        <f>AND(#REF!,"AAAAAHzN9YA=")</f>
        <v>#REF!</v>
      </c>
      <c r="DZ136" s="34" t="e">
        <f>AND(#REF!,"AAAAAHzN9YE=")</f>
        <v>#REF!</v>
      </c>
      <c r="EA136" s="34" t="e">
        <f>AND(#REF!,"AAAAAHzN9YI=")</f>
        <v>#REF!</v>
      </c>
      <c r="EB136" s="34" t="e">
        <f>AND(#REF!,"AAAAAHzN9YM=")</f>
        <v>#REF!</v>
      </c>
      <c r="EC136" s="34" t="e">
        <f>AND(#REF!,"AAAAAHzN9YQ=")</f>
        <v>#REF!</v>
      </c>
      <c r="ED136" s="34" t="e">
        <f>AND(#REF!,"AAAAAHzN9YU=")</f>
        <v>#REF!</v>
      </c>
      <c r="EE136" s="34" t="e">
        <f>AND(#REF!,"AAAAAHzN9YY=")</f>
        <v>#REF!</v>
      </c>
      <c r="EF136" s="34" t="e">
        <f>AND(#REF!,"AAAAAHzN9Yc=")</f>
        <v>#REF!</v>
      </c>
      <c r="EG136" s="34" t="e">
        <f>AND(#REF!,"AAAAAHzN9Yg=")</f>
        <v>#REF!</v>
      </c>
      <c r="EH136" s="34" t="e">
        <f>AND(#REF!,"AAAAAHzN9Yk=")</f>
        <v>#REF!</v>
      </c>
      <c r="EI136" s="34" t="e">
        <f>AND(#REF!,"AAAAAHzN9Yo=")</f>
        <v>#REF!</v>
      </c>
      <c r="EJ136" s="34" t="e">
        <f>AND(#REF!,"AAAAAHzN9Ys=")</f>
        <v>#REF!</v>
      </c>
      <c r="EK136" s="34" t="e">
        <f>AND(#REF!,"AAAAAHzN9Yw=")</f>
        <v>#REF!</v>
      </c>
      <c r="EL136" s="34" t="e">
        <f>AND(#REF!,"AAAAAHzN9Y0=")</f>
        <v>#REF!</v>
      </c>
      <c r="EM136" s="34" t="e">
        <f>AND(#REF!,"AAAAAHzN9Y4=")</f>
        <v>#REF!</v>
      </c>
      <c r="EN136" s="34" t="e">
        <f>AND(#REF!,"AAAAAHzN9Y8=")</f>
        <v>#REF!</v>
      </c>
      <c r="EO136" s="34" t="e">
        <f>AND(#REF!,"AAAAAHzN9ZA=")</f>
        <v>#REF!</v>
      </c>
      <c r="EP136" s="34" t="e">
        <f>AND(#REF!,"AAAAAHzN9ZE=")</f>
        <v>#REF!</v>
      </c>
      <c r="EQ136" s="34" t="e">
        <f>AND(#REF!,"AAAAAHzN9ZI=")</f>
        <v>#REF!</v>
      </c>
      <c r="ER136" s="34" t="e">
        <f>AND(#REF!,"AAAAAHzN9ZM=")</f>
        <v>#REF!</v>
      </c>
      <c r="ES136" s="34" t="e">
        <f>AND(#REF!,"AAAAAHzN9ZQ=")</f>
        <v>#REF!</v>
      </c>
      <c r="ET136" s="34" t="e">
        <f>AND(#REF!,"AAAAAHzN9ZU=")</f>
        <v>#REF!</v>
      </c>
      <c r="EU136" s="34" t="e">
        <f>AND(#REF!,"AAAAAHzN9ZY=")</f>
        <v>#REF!</v>
      </c>
      <c r="EV136" s="34" t="e">
        <f>AND(#REF!,"AAAAAHzN9Zc=")</f>
        <v>#REF!</v>
      </c>
      <c r="EW136" s="34" t="e">
        <f>AND(#REF!,"AAAAAHzN9Zg=")</f>
        <v>#REF!</v>
      </c>
      <c r="EX136" s="34" t="e">
        <f>AND(#REF!,"AAAAAHzN9Zk=")</f>
        <v>#REF!</v>
      </c>
      <c r="EY136" s="34" t="e">
        <f>AND(#REF!,"AAAAAHzN9Zo=")</f>
        <v>#REF!</v>
      </c>
      <c r="EZ136" s="34" t="e">
        <f>AND(#REF!,"AAAAAHzN9Zs=")</f>
        <v>#REF!</v>
      </c>
      <c r="FA136" s="34" t="e">
        <f>AND(#REF!,"AAAAAHzN9Zw=")</f>
        <v>#REF!</v>
      </c>
      <c r="FB136" s="34" t="e">
        <f>AND(#REF!,"AAAAAHzN9Z0=")</f>
        <v>#REF!</v>
      </c>
      <c r="FC136" s="34" t="e">
        <f>AND(#REF!,"AAAAAHzN9Z4=")</f>
        <v>#REF!</v>
      </c>
      <c r="FD136" s="34" t="e">
        <f>AND(#REF!,"AAAAAHzN9Z8=")</f>
        <v>#REF!</v>
      </c>
      <c r="FE136" s="34" t="e">
        <f>AND(#REF!,"AAAAAHzN9aA=")</f>
        <v>#REF!</v>
      </c>
      <c r="FF136" s="34" t="e">
        <f>IF(#REF!,"AAAAAHzN9aE=",0)</f>
        <v>#REF!</v>
      </c>
      <c r="FG136" s="34" t="e">
        <f>AND(#REF!,"AAAAAHzN9aI=")</f>
        <v>#REF!</v>
      </c>
      <c r="FH136" s="34" t="e">
        <f>AND(#REF!,"AAAAAHzN9aM=")</f>
        <v>#REF!</v>
      </c>
      <c r="FI136" s="34" t="e">
        <f>AND(#REF!,"AAAAAHzN9aQ=")</f>
        <v>#REF!</v>
      </c>
      <c r="FJ136" s="34" t="e">
        <f>AND(#REF!,"AAAAAHzN9aU=")</f>
        <v>#REF!</v>
      </c>
      <c r="FK136" s="34" t="e">
        <f>AND(#REF!,"AAAAAHzN9aY=")</f>
        <v>#REF!</v>
      </c>
      <c r="FL136" s="34" t="e">
        <f>AND(#REF!,"AAAAAHzN9ac=")</f>
        <v>#REF!</v>
      </c>
      <c r="FM136" s="34" t="e">
        <f>AND(#REF!,"AAAAAHzN9ag=")</f>
        <v>#REF!</v>
      </c>
      <c r="FN136" s="34" t="e">
        <f>AND(#REF!,"AAAAAHzN9ak=")</f>
        <v>#REF!</v>
      </c>
      <c r="FO136" s="34" t="e">
        <f>AND(#REF!,"AAAAAHzN9ao=")</f>
        <v>#REF!</v>
      </c>
      <c r="FP136" s="34" t="e">
        <f>AND(#REF!,"AAAAAHzN9as=")</f>
        <v>#REF!</v>
      </c>
      <c r="FQ136" s="34" t="e">
        <f>AND(#REF!,"AAAAAHzN9aw=")</f>
        <v>#REF!</v>
      </c>
      <c r="FR136" s="34" t="e">
        <f>AND(#REF!,"AAAAAHzN9a0=")</f>
        <v>#REF!</v>
      </c>
      <c r="FS136" s="34" t="e">
        <f>AND(#REF!,"AAAAAHzN9a4=")</f>
        <v>#REF!</v>
      </c>
      <c r="FT136" s="34" t="e">
        <f>AND(#REF!,"AAAAAHzN9a8=")</f>
        <v>#REF!</v>
      </c>
      <c r="FU136" s="34" t="e">
        <f>AND(#REF!,"AAAAAHzN9bA=")</f>
        <v>#REF!</v>
      </c>
      <c r="FV136" s="34" t="e">
        <f>AND(#REF!,"AAAAAHzN9bE=")</f>
        <v>#REF!</v>
      </c>
      <c r="FW136" s="34" t="e">
        <f>AND(#REF!,"AAAAAHzN9bI=")</f>
        <v>#REF!</v>
      </c>
      <c r="FX136" s="34" t="e">
        <f>AND(#REF!,"AAAAAHzN9bM=")</f>
        <v>#REF!</v>
      </c>
      <c r="FY136" s="34" t="e">
        <f>AND(#REF!,"AAAAAHzN9bQ=")</f>
        <v>#REF!</v>
      </c>
      <c r="FZ136" s="34" t="e">
        <f>AND(#REF!,"AAAAAHzN9bU=")</f>
        <v>#REF!</v>
      </c>
      <c r="GA136" s="34" t="e">
        <f>AND(#REF!,"AAAAAHzN9bY=")</f>
        <v>#REF!</v>
      </c>
      <c r="GB136" s="34" t="e">
        <f>AND(#REF!,"AAAAAHzN9bc=")</f>
        <v>#REF!</v>
      </c>
      <c r="GC136" s="34" t="e">
        <f>AND(#REF!,"AAAAAHzN9bg=")</f>
        <v>#REF!</v>
      </c>
      <c r="GD136" s="34" t="e">
        <f>AND(#REF!,"AAAAAHzN9bk=")</f>
        <v>#REF!</v>
      </c>
      <c r="GE136" s="34" t="e">
        <f>AND(#REF!,"AAAAAHzN9bo=")</f>
        <v>#REF!</v>
      </c>
      <c r="GF136" s="34" t="e">
        <f>AND(#REF!,"AAAAAHzN9bs=")</f>
        <v>#REF!</v>
      </c>
      <c r="GG136" s="34" t="e">
        <f>AND(#REF!,"AAAAAHzN9bw=")</f>
        <v>#REF!</v>
      </c>
      <c r="GH136" s="34" t="e">
        <f>AND(#REF!,"AAAAAHzN9b0=")</f>
        <v>#REF!</v>
      </c>
      <c r="GI136" s="34" t="e">
        <f>AND(#REF!,"AAAAAHzN9b4=")</f>
        <v>#REF!</v>
      </c>
      <c r="GJ136" s="34" t="e">
        <f>AND(#REF!,"AAAAAHzN9b8=")</f>
        <v>#REF!</v>
      </c>
      <c r="GK136" s="34" t="e">
        <f>AND(#REF!,"AAAAAHzN9cA=")</f>
        <v>#REF!</v>
      </c>
      <c r="GL136" s="34" t="e">
        <f>AND(#REF!,"AAAAAHzN9cE=")</f>
        <v>#REF!</v>
      </c>
      <c r="GM136" s="34" t="e">
        <f>AND(#REF!,"AAAAAHzN9cI=")</f>
        <v>#REF!</v>
      </c>
      <c r="GN136" s="34" t="e">
        <f>AND(#REF!,"AAAAAHzN9cM=")</f>
        <v>#REF!</v>
      </c>
      <c r="GO136" s="34" t="e">
        <f>AND(#REF!,"AAAAAHzN9cQ=")</f>
        <v>#REF!</v>
      </c>
      <c r="GP136" s="34" t="e">
        <f>AND(#REF!,"AAAAAHzN9cU=")</f>
        <v>#REF!</v>
      </c>
      <c r="GQ136" s="34" t="e">
        <f>AND(#REF!,"AAAAAHzN9cY=")</f>
        <v>#REF!</v>
      </c>
      <c r="GR136" s="34" t="e">
        <f>AND(#REF!,"AAAAAHzN9cc=")</f>
        <v>#REF!</v>
      </c>
      <c r="GS136" s="34" t="e">
        <f>AND(#REF!,"AAAAAHzN9cg=")</f>
        <v>#REF!</v>
      </c>
      <c r="GT136" s="34" t="e">
        <f>AND(#REF!,"AAAAAHzN9ck=")</f>
        <v>#REF!</v>
      </c>
      <c r="GU136" s="34" t="e">
        <f>AND(#REF!,"AAAAAHzN9co=")</f>
        <v>#REF!</v>
      </c>
      <c r="GV136" s="34" t="e">
        <f>AND(#REF!,"AAAAAHzN9cs=")</f>
        <v>#REF!</v>
      </c>
      <c r="GW136" s="34" t="e">
        <f>IF(#REF!,"AAAAAHzN9cw=",0)</f>
        <v>#REF!</v>
      </c>
      <c r="GX136" s="34" t="e">
        <f>AND(#REF!,"AAAAAHzN9c0=")</f>
        <v>#REF!</v>
      </c>
      <c r="GY136" s="34" t="e">
        <f>AND(#REF!,"AAAAAHzN9c4=")</f>
        <v>#REF!</v>
      </c>
      <c r="GZ136" s="34" t="e">
        <f>AND(#REF!,"AAAAAHzN9c8=")</f>
        <v>#REF!</v>
      </c>
      <c r="HA136" s="34" t="e">
        <f>AND(#REF!,"AAAAAHzN9dA=")</f>
        <v>#REF!</v>
      </c>
      <c r="HB136" s="34" t="e">
        <f>AND(#REF!,"AAAAAHzN9dE=")</f>
        <v>#REF!</v>
      </c>
      <c r="HC136" s="34" t="e">
        <f>AND(#REF!,"AAAAAHzN9dI=")</f>
        <v>#REF!</v>
      </c>
      <c r="HD136" s="34" t="e">
        <f>AND(#REF!,"AAAAAHzN9dM=")</f>
        <v>#REF!</v>
      </c>
      <c r="HE136" s="34" t="e">
        <f>AND(#REF!,"AAAAAHzN9dQ=")</f>
        <v>#REF!</v>
      </c>
      <c r="HF136" s="34" t="e">
        <f>AND(#REF!,"AAAAAHzN9dU=")</f>
        <v>#REF!</v>
      </c>
      <c r="HG136" s="34" t="e">
        <f>AND(#REF!,"AAAAAHzN9dY=")</f>
        <v>#REF!</v>
      </c>
      <c r="HH136" s="34" t="e">
        <f>AND(#REF!,"AAAAAHzN9dc=")</f>
        <v>#REF!</v>
      </c>
      <c r="HI136" s="34" t="e">
        <f>AND(#REF!,"AAAAAHzN9dg=")</f>
        <v>#REF!</v>
      </c>
      <c r="HJ136" s="34" t="e">
        <f>AND(#REF!,"AAAAAHzN9dk=")</f>
        <v>#REF!</v>
      </c>
      <c r="HK136" s="34" t="e">
        <f>AND(#REF!,"AAAAAHzN9do=")</f>
        <v>#REF!</v>
      </c>
      <c r="HL136" s="34" t="e">
        <f>AND(#REF!,"AAAAAHzN9ds=")</f>
        <v>#REF!</v>
      </c>
      <c r="HM136" s="34" t="e">
        <f>AND(#REF!,"AAAAAHzN9dw=")</f>
        <v>#REF!</v>
      </c>
      <c r="HN136" s="34" t="e">
        <f>AND(#REF!,"AAAAAHzN9d0=")</f>
        <v>#REF!</v>
      </c>
      <c r="HO136" s="34" t="e">
        <f>AND(#REF!,"AAAAAHzN9d4=")</f>
        <v>#REF!</v>
      </c>
      <c r="HP136" s="34" t="e">
        <f>AND(#REF!,"AAAAAHzN9d8=")</f>
        <v>#REF!</v>
      </c>
      <c r="HQ136" s="34" t="e">
        <f>AND(#REF!,"AAAAAHzN9eA=")</f>
        <v>#REF!</v>
      </c>
      <c r="HR136" s="34" t="e">
        <f>AND(#REF!,"AAAAAHzN9eE=")</f>
        <v>#REF!</v>
      </c>
      <c r="HS136" s="34" t="e">
        <f>AND(#REF!,"AAAAAHzN9eI=")</f>
        <v>#REF!</v>
      </c>
      <c r="HT136" s="34" t="e">
        <f>AND(#REF!,"AAAAAHzN9eM=")</f>
        <v>#REF!</v>
      </c>
      <c r="HU136" s="34" t="e">
        <f>AND(#REF!,"AAAAAHzN9eQ=")</f>
        <v>#REF!</v>
      </c>
      <c r="HV136" s="34" t="e">
        <f>AND(#REF!,"AAAAAHzN9eU=")</f>
        <v>#REF!</v>
      </c>
      <c r="HW136" s="34" t="e">
        <f>AND(#REF!,"AAAAAHzN9eY=")</f>
        <v>#REF!</v>
      </c>
      <c r="HX136" s="34" t="e">
        <f>AND(#REF!,"AAAAAHzN9ec=")</f>
        <v>#REF!</v>
      </c>
      <c r="HY136" s="34" t="e">
        <f>AND(#REF!,"AAAAAHzN9eg=")</f>
        <v>#REF!</v>
      </c>
      <c r="HZ136" s="34" t="e">
        <f>AND(#REF!,"AAAAAHzN9ek=")</f>
        <v>#REF!</v>
      </c>
      <c r="IA136" s="34" t="e">
        <f>AND(#REF!,"AAAAAHzN9eo=")</f>
        <v>#REF!</v>
      </c>
      <c r="IB136" s="34" t="e">
        <f>AND(#REF!,"AAAAAHzN9es=")</f>
        <v>#REF!</v>
      </c>
      <c r="IC136" s="34" t="e">
        <f>AND(#REF!,"AAAAAHzN9ew=")</f>
        <v>#REF!</v>
      </c>
      <c r="ID136" s="34" t="e">
        <f>AND(#REF!,"AAAAAHzN9e0=")</f>
        <v>#REF!</v>
      </c>
      <c r="IE136" s="34" t="e">
        <f>AND(#REF!,"AAAAAHzN9e4=")</f>
        <v>#REF!</v>
      </c>
      <c r="IF136" s="34" t="e">
        <f>AND(#REF!,"AAAAAHzN9e8=")</f>
        <v>#REF!</v>
      </c>
      <c r="IG136" s="34" t="e">
        <f>AND(#REF!,"AAAAAHzN9fA=")</f>
        <v>#REF!</v>
      </c>
      <c r="IH136" s="34" t="e">
        <f>AND(#REF!,"AAAAAHzN9fE=")</f>
        <v>#REF!</v>
      </c>
      <c r="II136" s="34" t="e">
        <f>AND(#REF!,"AAAAAHzN9fI=")</f>
        <v>#REF!</v>
      </c>
      <c r="IJ136" s="34" t="e">
        <f>AND(#REF!,"AAAAAHzN9fM=")</f>
        <v>#REF!</v>
      </c>
      <c r="IK136" s="34" t="e">
        <f>AND(#REF!,"AAAAAHzN9fQ=")</f>
        <v>#REF!</v>
      </c>
      <c r="IL136" s="34" t="e">
        <f>AND(#REF!,"AAAAAHzN9fU=")</f>
        <v>#REF!</v>
      </c>
      <c r="IM136" s="34" t="e">
        <f>AND(#REF!,"AAAAAHzN9fY=")</f>
        <v>#REF!</v>
      </c>
      <c r="IN136" s="34" t="e">
        <f>IF(#REF!,"AAAAAHzN9fc=",0)</f>
        <v>#REF!</v>
      </c>
      <c r="IO136" s="34" t="e">
        <f>AND(#REF!,"AAAAAHzN9fg=")</f>
        <v>#REF!</v>
      </c>
      <c r="IP136" s="34" t="e">
        <f>AND(#REF!,"AAAAAHzN9fk=")</f>
        <v>#REF!</v>
      </c>
      <c r="IQ136" s="34" t="e">
        <f>AND(#REF!,"AAAAAHzN9fo=")</f>
        <v>#REF!</v>
      </c>
      <c r="IR136" s="34" t="e">
        <f>AND(#REF!,"AAAAAHzN9fs=")</f>
        <v>#REF!</v>
      </c>
      <c r="IS136" s="34" t="e">
        <f>AND(#REF!,"AAAAAHzN9fw=")</f>
        <v>#REF!</v>
      </c>
      <c r="IT136" s="34" t="e">
        <f>AND(#REF!,"AAAAAHzN9f0=")</f>
        <v>#REF!</v>
      </c>
      <c r="IU136" s="34" t="e">
        <f>AND(#REF!,"AAAAAHzN9f4=")</f>
        <v>#REF!</v>
      </c>
      <c r="IV136" s="34" t="e">
        <f>AND(#REF!,"AAAAAHzN9f8=")</f>
        <v>#REF!</v>
      </c>
    </row>
    <row r="137" spans="1:256" ht="12.75" customHeight="1" x14ac:dyDescent="0.2">
      <c r="A137" s="34" t="e">
        <f>AND(#REF!,"AAAAABpJXwA=")</f>
        <v>#REF!</v>
      </c>
      <c r="B137" s="34" t="e">
        <f>AND(#REF!,"AAAAABpJXwE=")</f>
        <v>#REF!</v>
      </c>
      <c r="C137" s="34" t="e">
        <f>AND(#REF!,"AAAAABpJXwI=")</f>
        <v>#REF!</v>
      </c>
      <c r="D137" s="34" t="e">
        <f>AND(#REF!,"AAAAABpJXwM=")</f>
        <v>#REF!</v>
      </c>
      <c r="E137" s="34" t="e">
        <f>AND(#REF!,"AAAAABpJXwQ=")</f>
        <v>#REF!</v>
      </c>
      <c r="F137" s="34" t="e">
        <f>AND(#REF!,"AAAAABpJXwU=")</f>
        <v>#REF!</v>
      </c>
      <c r="G137" s="34" t="e">
        <f>AND(#REF!,"AAAAABpJXwY=")</f>
        <v>#REF!</v>
      </c>
      <c r="H137" s="34" t="e">
        <f>AND(#REF!,"AAAAABpJXwc=")</f>
        <v>#REF!</v>
      </c>
      <c r="I137" s="34" t="e">
        <f>AND(#REF!,"AAAAABpJXwg=")</f>
        <v>#REF!</v>
      </c>
      <c r="J137" s="34" t="e">
        <f>AND(#REF!,"AAAAABpJXwk=")</f>
        <v>#REF!</v>
      </c>
      <c r="K137" s="34" t="e">
        <f>AND(#REF!,"AAAAABpJXwo=")</f>
        <v>#REF!</v>
      </c>
      <c r="L137" s="34" t="e">
        <f>AND(#REF!,"AAAAABpJXws=")</f>
        <v>#REF!</v>
      </c>
      <c r="M137" s="34" t="e">
        <f>AND(#REF!,"AAAAABpJXww=")</f>
        <v>#REF!</v>
      </c>
      <c r="N137" s="34" t="e">
        <f>AND(#REF!,"AAAAABpJXw0=")</f>
        <v>#REF!</v>
      </c>
      <c r="O137" s="34" t="e">
        <f>AND(#REF!,"AAAAABpJXw4=")</f>
        <v>#REF!</v>
      </c>
      <c r="P137" s="34" t="e">
        <f>AND(#REF!,"AAAAABpJXw8=")</f>
        <v>#REF!</v>
      </c>
      <c r="Q137" s="34" t="e">
        <f>AND(#REF!,"AAAAABpJXxA=")</f>
        <v>#REF!</v>
      </c>
      <c r="R137" s="34" t="e">
        <f>AND(#REF!,"AAAAABpJXxE=")</f>
        <v>#REF!</v>
      </c>
      <c r="S137" s="34" t="e">
        <f>AND(#REF!,"AAAAABpJXxI=")</f>
        <v>#REF!</v>
      </c>
      <c r="T137" s="34" t="e">
        <f>AND(#REF!,"AAAAABpJXxM=")</f>
        <v>#REF!</v>
      </c>
      <c r="U137" s="34" t="e">
        <f>AND(#REF!,"AAAAABpJXxQ=")</f>
        <v>#REF!</v>
      </c>
      <c r="V137" s="34" t="e">
        <f>AND(#REF!,"AAAAABpJXxU=")</f>
        <v>#REF!</v>
      </c>
      <c r="W137" s="34" t="e">
        <f>AND(#REF!,"AAAAABpJXxY=")</f>
        <v>#REF!</v>
      </c>
      <c r="X137" s="34" t="e">
        <f>AND(#REF!,"AAAAABpJXxc=")</f>
        <v>#REF!</v>
      </c>
      <c r="Y137" s="34" t="e">
        <f>AND(#REF!,"AAAAABpJXxg=")</f>
        <v>#REF!</v>
      </c>
      <c r="Z137" s="34" t="e">
        <f>AND(#REF!,"AAAAABpJXxk=")</f>
        <v>#REF!</v>
      </c>
      <c r="AA137" s="34" t="e">
        <f>AND(#REF!,"AAAAABpJXxo=")</f>
        <v>#REF!</v>
      </c>
      <c r="AB137" s="34" t="e">
        <f>AND(#REF!,"AAAAABpJXxs=")</f>
        <v>#REF!</v>
      </c>
      <c r="AC137" s="34" t="e">
        <f>AND(#REF!,"AAAAABpJXxw=")</f>
        <v>#REF!</v>
      </c>
      <c r="AD137" s="34" t="e">
        <f>AND(#REF!,"AAAAABpJXx0=")</f>
        <v>#REF!</v>
      </c>
      <c r="AE137" s="34" t="e">
        <f>AND(#REF!,"AAAAABpJXx4=")</f>
        <v>#REF!</v>
      </c>
      <c r="AF137" s="34" t="e">
        <f>AND(#REF!,"AAAAABpJXx8=")</f>
        <v>#REF!</v>
      </c>
      <c r="AG137" s="34" t="e">
        <f>AND(#REF!,"AAAAABpJXyA=")</f>
        <v>#REF!</v>
      </c>
      <c r="AH137" s="34" t="e">
        <f>AND(#REF!,"AAAAABpJXyE=")</f>
        <v>#REF!</v>
      </c>
      <c r="AI137" s="34" t="e">
        <f>IF(#REF!,"AAAAABpJXyI=",0)</f>
        <v>#REF!</v>
      </c>
      <c r="AJ137" s="34" t="e">
        <f>AND(#REF!,"AAAAABpJXyM=")</f>
        <v>#REF!</v>
      </c>
      <c r="AK137" s="34" t="e">
        <f>AND(#REF!,"AAAAABpJXyQ=")</f>
        <v>#REF!</v>
      </c>
      <c r="AL137" s="34" t="e">
        <f>AND(#REF!,"AAAAABpJXyU=")</f>
        <v>#REF!</v>
      </c>
      <c r="AM137" s="34" t="e">
        <f>AND(#REF!,"AAAAABpJXyY=")</f>
        <v>#REF!</v>
      </c>
      <c r="AN137" s="34" t="e">
        <f>AND(#REF!,"AAAAABpJXyc=")</f>
        <v>#REF!</v>
      </c>
      <c r="AO137" s="34" t="e">
        <f>AND(#REF!,"AAAAABpJXyg=")</f>
        <v>#REF!</v>
      </c>
      <c r="AP137" s="34" t="e">
        <f>AND(#REF!,"AAAAABpJXyk=")</f>
        <v>#REF!</v>
      </c>
      <c r="AQ137" s="34" t="e">
        <f>AND(#REF!,"AAAAABpJXyo=")</f>
        <v>#REF!</v>
      </c>
      <c r="AR137" s="34" t="e">
        <f>AND(#REF!,"AAAAABpJXys=")</f>
        <v>#REF!</v>
      </c>
      <c r="AS137" s="34" t="e">
        <f>AND(#REF!,"AAAAABpJXyw=")</f>
        <v>#REF!</v>
      </c>
      <c r="AT137" s="34" t="e">
        <f>AND(#REF!,"AAAAABpJXy0=")</f>
        <v>#REF!</v>
      </c>
      <c r="AU137" s="34" t="e">
        <f>AND(#REF!,"AAAAABpJXy4=")</f>
        <v>#REF!</v>
      </c>
      <c r="AV137" s="34" t="e">
        <f>AND(#REF!,"AAAAABpJXy8=")</f>
        <v>#REF!</v>
      </c>
      <c r="AW137" s="34" t="e">
        <f>AND(#REF!,"AAAAABpJXzA=")</f>
        <v>#REF!</v>
      </c>
      <c r="AX137" s="34" t="e">
        <f>AND(#REF!,"AAAAABpJXzE=")</f>
        <v>#REF!</v>
      </c>
      <c r="AY137" s="34" t="e">
        <f>AND(#REF!,"AAAAABpJXzI=")</f>
        <v>#REF!</v>
      </c>
      <c r="AZ137" s="34" t="e">
        <f>AND(#REF!,"AAAAABpJXzM=")</f>
        <v>#REF!</v>
      </c>
      <c r="BA137" s="34" t="e">
        <f>AND(#REF!,"AAAAABpJXzQ=")</f>
        <v>#REF!</v>
      </c>
      <c r="BB137" s="34" t="e">
        <f>AND(#REF!,"AAAAABpJXzU=")</f>
        <v>#REF!</v>
      </c>
      <c r="BC137" s="34" t="e">
        <f>AND(#REF!,"AAAAABpJXzY=")</f>
        <v>#REF!</v>
      </c>
      <c r="BD137" s="34" t="e">
        <f>AND(#REF!,"AAAAABpJXzc=")</f>
        <v>#REF!</v>
      </c>
      <c r="BE137" s="34" t="e">
        <f>AND(#REF!,"AAAAABpJXzg=")</f>
        <v>#REF!</v>
      </c>
      <c r="BF137" s="34" t="e">
        <f>AND(#REF!,"AAAAABpJXzk=")</f>
        <v>#REF!</v>
      </c>
      <c r="BG137" s="34" t="e">
        <f>AND(#REF!,"AAAAABpJXzo=")</f>
        <v>#REF!</v>
      </c>
      <c r="BH137" s="34" t="e">
        <f>AND(#REF!,"AAAAABpJXzs=")</f>
        <v>#REF!</v>
      </c>
      <c r="BI137" s="34" t="e">
        <f>AND(#REF!,"AAAAABpJXzw=")</f>
        <v>#REF!</v>
      </c>
      <c r="BJ137" s="34" t="e">
        <f>AND(#REF!,"AAAAABpJXz0=")</f>
        <v>#REF!</v>
      </c>
      <c r="BK137" s="34" t="e">
        <f>AND(#REF!,"AAAAABpJXz4=")</f>
        <v>#REF!</v>
      </c>
      <c r="BL137" s="34" t="e">
        <f>AND(#REF!,"AAAAABpJXz8=")</f>
        <v>#REF!</v>
      </c>
      <c r="BM137" s="34" t="e">
        <f>AND(#REF!,"AAAAABpJX0A=")</f>
        <v>#REF!</v>
      </c>
      <c r="BN137" s="34" t="e">
        <f>AND(#REF!,"AAAAABpJX0E=")</f>
        <v>#REF!</v>
      </c>
      <c r="BO137" s="34" t="e">
        <f>AND(#REF!,"AAAAABpJX0I=")</f>
        <v>#REF!</v>
      </c>
      <c r="BP137" s="34" t="e">
        <f>AND(#REF!,"AAAAABpJX0M=")</f>
        <v>#REF!</v>
      </c>
      <c r="BQ137" s="34" t="e">
        <f>AND(#REF!,"AAAAABpJX0Q=")</f>
        <v>#REF!</v>
      </c>
      <c r="BR137" s="34" t="e">
        <f>AND(#REF!,"AAAAABpJX0U=")</f>
        <v>#REF!</v>
      </c>
      <c r="BS137" s="34" t="e">
        <f>AND(#REF!,"AAAAABpJX0Y=")</f>
        <v>#REF!</v>
      </c>
      <c r="BT137" s="34" t="e">
        <f>AND(#REF!,"AAAAABpJX0c=")</f>
        <v>#REF!</v>
      </c>
      <c r="BU137" s="34" t="e">
        <f>AND(#REF!,"AAAAABpJX0g=")</f>
        <v>#REF!</v>
      </c>
      <c r="BV137" s="34" t="e">
        <f>AND(#REF!,"AAAAABpJX0k=")</f>
        <v>#REF!</v>
      </c>
      <c r="BW137" s="34" t="e">
        <f>AND(#REF!,"AAAAABpJX0o=")</f>
        <v>#REF!</v>
      </c>
      <c r="BX137" s="34" t="e">
        <f>AND(#REF!,"AAAAABpJX0s=")</f>
        <v>#REF!</v>
      </c>
      <c r="BY137" s="34" t="e">
        <f>AND(#REF!,"AAAAABpJX0w=")</f>
        <v>#REF!</v>
      </c>
      <c r="BZ137" s="34" t="e">
        <f>IF(#REF!,"AAAAABpJX00=",0)</f>
        <v>#REF!</v>
      </c>
      <c r="CA137" s="34" t="e">
        <f>AND(#REF!,"AAAAABpJX04=")</f>
        <v>#REF!</v>
      </c>
      <c r="CB137" s="34" t="e">
        <f>AND(#REF!,"AAAAABpJX08=")</f>
        <v>#REF!</v>
      </c>
      <c r="CC137" s="34" t="e">
        <f>AND(#REF!,"AAAAABpJX1A=")</f>
        <v>#REF!</v>
      </c>
      <c r="CD137" s="34" t="e">
        <f>AND(#REF!,"AAAAABpJX1E=")</f>
        <v>#REF!</v>
      </c>
      <c r="CE137" s="34" t="e">
        <f>AND(#REF!,"AAAAABpJX1I=")</f>
        <v>#REF!</v>
      </c>
      <c r="CF137" s="34" t="e">
        <f>AND(#REF!,"AAAAABpJX1M=")</f>
        <v>#REF!</v>
      </c>
      <c r="CG137" s="34" t="e">
        <f>AND(#REF!,"AAAAABpJX1Q=")</f>
        <v>#REF!</v>
      </c>
      <c r="CH137" s="34" t="e">
        <f>AND(#REF!,"AAAAABpJX1U=")</f>
        <v>#REF!</v>
      </c>
      <c r="CI137" s="34" t="e">
        <f>AND(#REF!,"AAAAABpJX1Y=")</f>
        <v>#REF!</v>
      </c>
      <c r="CJ137" s="34" t="e">
        <f>AND(#REF!,"AAAAABpJX1c=")</f>
        <v>#REF!</v>
      </c>
      <c r="CK137" s="34" t="e">
        <f>AND(#REF!,"AAAAABpJX1g=")</f>
        <v>#REF!</v>
      </c>
      <c r="CL137" s="34" t="e">
        <f>AND(#REF!,"AAAAABpJX1k=")</f>
        <v>#REF!</v>
      </c>
      <c r="CM137" s="34" t="e">
        <f>AND(#REF!,"AAAAABpJX1o=")</f>
        <v>#REF!</v>
      </c>
      <c r="CN137" s="34" t="e">
        <f>AND(#REF!,"AAAAABpJX1s=")</f>
        <v>#REF!</v>
      </c>
      <c r="CO137" s="34" t="e">
        <f>AND(#REF!,"AAAAABpJX1w=")</f>
        <v>#REF!</v>
      </c>
      <c r="CP137" s="34" t="e">
        <f>AND(#REF!,"AAAAABpJX10=")</f>
        <v>#REF!</v>
      </c>
      <c r="CQ137" s="34" t="e">
        <f>AND(#REF!,"AAAAABpJX14=")</f>
        <v>#REF!</v>
      </c>
      <c r="CR137" s="34" t="e">
        <f>AND(#REF!,"AAAAABpJX18=")</f>
        <v>#REF!</v>
      </c>
      <c r="CS137" s="34" t="e">
        <f>AND(#REF!,"AAAAABpJX2A=")</f>
        <v>#REF!</v>
      </c>
      <c r="CT137" s="34" t="e">
        <f>AND(#REF!,"AAAAABpJX2E=")</f>
        <v>#REF!</v>
      </c>
      <c r="CU137" s="34" t="e">
        <f>AND(#REF!,"AAAAABpJX2I=")</f>
        <v>#REF!</v>
      </c>
      <c r="CV137" s="34" t="e">
        <f>AND(#REF!,"AAAAABpJX2M=")</f>
        <v>#REF!</v>
      </c>
      <c r="CW137" s="34" t="e">
        <f>AND(#REF!,"AAAAABpJX2Q=")</f>
        <v>#REF!</v>
      </c>
      <c r="CX137" s="34" t="e">
        <f>AND(#REF!,"AAAAABpJX2U=")</f>
        <v>#REF!</v>
      </c>
      <c r="CY137" s="34" t="e">
        <f>AND(#REF!,"AAAAABpJX2Y=")</f>
        <v>#REF!</v>
      </c>
      <c r="CZ137" s="34" t="e">
        <f>AND(#REF!,"AAAAABpJX2c=")</f>
        <v>#REF!</v>
      </c>
      <c r="DA137" s="34" t="e">
        <f>AND(#REF!,"AAAAABpJX2g=")</f>
        <v>#REF!</v>
      </c>
      <c r="DB137" s="34" t="e">
        <f>AND(#REF!,"AAAAABpJX2k=")</f>
        <v>#REF!</v>
      </c>
      <c r="DC137" s="34" t="e">
        <f>AND(#REF!,"AAAAABpJX2o=")</f>
        <v>#REF!</v>
      </c>
      <c r="DD137" s="34" t="e">
        <f>AND(#REF!,"AAAAABpJX2s=")</f>
        <v>#REF!</v>
      </c>
      <c r="DE137" s="34" t="e">
        <f>AND(#REF!,"AAAAABpJX2w=")</f>
        <v>#REF!</v>
      </c>
      <c r="DF137" s="34" t="e">
        <f>AND(#REF!,"AAAAABpJX20=")</f>
        <v>#REF!</v>
      </c>
      <c r="DG137" s="34" t="e">
        <f>AND(#REF!,"AAAAABpJX24=")</f>
        <v>#REF!</v>
      </c>
      <c r="DH137" s="34" t="e">
        <f>AND(#REF!,"AAAAABpJX28=")</f>
        <v>#REF!</v>
      </c>
      <c r="DI137" s="34" t="e">
        <f>AND(#REF!,"AAAAABpJX3A=")</f>
        <v>#REF!</v>
      </c>
      <c r="DJ137" s="34" t="e">
        <f>AND(#REF!,"AAAAABpJX3E=")</f>
        <v>#REF!</v>
      </c>
      <c r="DK137" s="34" t="e">
        <f>AND(#REF!,"AAAAABpJX3I=")</f>
        <v>#REF!</v>
      </c>
      <c r="DL137" s="34" t="e">
        <f>AND(#REF!,"AAAAABpJX3M=")</f>
        <v>#REF!</v>
      </c>
      <c r="DM137" s="34" t="e">
        <f>AND(#REF!,"AAAAABpJX3Q=")</f>
        <v>#REF!</v>
      </c>
      <c r="DN137" s="34" t="e">
        <f>AND(#REF!,"AAAAABpJX3U=")</f>
        <v>#REF!</v>
      </c>
      <c r="DO137" s="34" t="e">
        <f>AND(#REF!,"AAAAABpJX3Y=")</f>
        <v>#REF!</v>
      </c>
      <c r="DP137" s="34" t="e">
        <f>AND(#REF!,"AAAAABpJX3c=")</f>
        <v>#REF!</v>
      </c>
      <c r="DQ137" s="34" t="e">
        <f>IF(#REF!,"AAAAABpJX3g=",0)</f>
        <v>#REF!</v>
      </c>
      <c r="DR137" s="34" t="e">
        <f>AND(#REF!,"AAAAABpJX3k=")</f>
        <v>#REF!</v>
      </c>
      <c r="DS137" s="34" t="e">
        <f>AND(#REF!,"AAAAABpJX3o=")</f>
        <v>#REF!</v>
      </c>
      <c r="DT137" s="34" t="e">
        <f>AND(#REF!,"AAAAABpJX3s=")</f>
        <v>#REF!</v>
      </c>
      <c r="DU137" s="34" t="e">
        <f>AND(#REF!,"AAAAABpJX3w=")</f>
        <v>#REF!</v>
      </c>
      <c r="DV137" s="34" t="e">
        <f>AND(#REF!,"AAAAABpJX30=")</f>
        <v>#REF!</v>
      </c>
      <c r="DW137" s="34" t="e">
        <f>AND(#REF!,"AAAAABpJX34=")</f>
        <v>#REF!</v>
      </c>
      <c r="DX137" s="34" t="e">
        <f>AND(#REF!,"AAAAABpJX38=")</f>
        <v>#REF!</v>
      </c>
      <c r="DY137" s="34" t="e">
        <f>AND(#REF!,"AAAAABpJX4A=")</f>
        <v>#REF!</v>
      </c>
      <c r="DZ137" s="34" t="e">
        <f>AND(#REF!,"AAAAABpJX4E=")</f>
        <v>#REF!</v>
      </c>
      <c r="EA137" s="34" t="e">
        <f>AND(#REF!,"AAAAABpJX4I=")</f>
        <v>#REF!</v>
      </c>
      <c r="EB137" s="34" t="e">
        <f>AND(#REF!,"AAAAABpJX4M=")</f>
        <v>#REF!</v>
      </c>
      <c r="EC137" s="34" t="e">
        <f>AND(#REF!,"AAAAABpJX4Q=")</f>
        <v>#REF!</v>
      </c>
      <c r="ED137" s="34" t="e">
        <f>AND(#REF!,"AAAAABpJX4U=")</f>
        <v>#REF!</v>
      </c>
      <c r="EE137" s="34" t="e">
        <f>AND(#REF!,"AAAAABpJX4Y=")</f>
        <v>#REF!</v>
      </c>
      <c r="EF137" s="34" t="e">
        <f>AND(#REF!,"AAAAABpJX4c=")</f>
        <v>#REF!</v>
      </c>
      <c r="EG137" s="34" t="e">
        <f>AND(#REF!,"AAAAABpJX4g=")</f>
        <v>#REF!</v>
      </c>
      <c r="EH137" s="34" t="e">
        <f>AND(#REF!,"AAAAABpJX4k=")</f>
        <v>#REF!</v>
      </c>
      <c r="EI137" s="34" t="e">
        <f>AND(#REF!,"AAAAABpJX4o=")</f>
        <v>#REF!</v>
      </c>
      <c r="EJ137" s="34" t="e">
        <f>AND(#REF!,"AAAAABpJX4s=")</f>
        <v>#REF!</v>
      </c>
      <c r="EK137" s="34" t="e">
        <f>AND(#REF!,"AAAAABpJX4w=")</f>
        <v>#REF!</v>
      </c>
      <c r="EL137" s="34" t="e">
        <f>AND(#REF!,"AAAAABpJX40=")</f>
        <v>#REF!</v>
      </c>
      <c r="EM137" s="34" t="e">
        <f>AND(#REF!,"AAAAABpJX44=")</f>
        <v>#REF!</v>
      </c>
      <c r="EN137" s="34" t="e">
        <f>AND(#REF!,"AAAAABpJX48=")</f>
        <v>#REF!</v>
      </c>
      <c r="EO137" s="34" t="e">
        <f>AND(#REF!,"AAAAABpJX5A=")</f>
        <v>#REF!</v>
      </c>
      <c r="EP137" s="34" t="e">
        <f>AND(#REF!,"AAAAABpJX5E=")</f>
        <v>#REF!</v>
      </c>
      <c r="EQ137" s="34" t="e">
        <f>AND(#REF!,"AAAAABpJX5I=")</f>
        <v>#REF!</v>
      </c>
      <c r="ER137" s="34" t="e">
        <f>AND(#REF!,"AAAAABpJX5M=")</f>
        <v>#REF!</v>
      </c>
      <c r="ES137" s="34" t="e">
        <f>AND(#REF!,"AAAAABpJX5Q=")</f>
        <v>#REF!</v>
      </c>
      <c r="ET137" s="34" t="e">
        <f>AND(#REF!,"AAAAABpJX5U=")</f>
        <v>#REF!</v>
      </c>
      <c r="EU137" s="34" t="e">
        <f>AND(#REF!,"AAAAABpJX5Y=")</f>
        <v>#REF!</v>
      </c>
      <c r="EV137" s="34" t="e">
        <f>AND(#REF!,"AAAAABpJX5c=")</f>
        <v>#REF!</v>
      </c>
      <c r="EW137" s="34" t="e">
        <f>AND(#REF!,"AAAAABpJX5g=")</f>
        <v>#REF!</v>
      </c>
      <c r="EX137" s="34" t="e">
        <f>AND(#REF!,"AAAAABpJX5k=")</f>
        <v>#REF!</v>
      </c>
      <c r="EY137" s="34" t="e">
        <f>AND(#REF!,"AAAAABpJX5o=")</f>
        <v>#REF!</v>
      </c>
      <c r="EZ137" s="34" t="e">
        <f>AND(#REF!,"AAAAABpJX5s=")</f>
        <v>#REF!</v>
      </c>
      <c r="FA137" s="34" t="e">
        <f>AND(#REF!,"AAAAABpJX5w=")</f>
        <v>#REF!</v>
      </c>
      <c r="FB137" s="34" t="e">
        <f>AND(#REF!,"AAAAABpJX50=")</f>
        <v>#REF!</v>
      </c>
      <c r="FC137" s="34" t="e">
        <f>AND(#REF!,"AAAAABpJX54=")</f>
        <v>#REF!</v>
      </c>
      <c r="FD137" s="34" t="e">
        <f>AND(#REF!,"AAAAABpJX58=")</f>
        <v>#REF!</v>
      </c>
      <c r="FE137" s="34" t="e">
        <f>AND(#REF!,"AAAAABpJX6A=")</f>
        <v>#REF!</v>
      </c>
      <c r="FF137" s="34" t="e">
        <f>AND(#REF!,"AAAAABpJX6E=")</f>
        <v>#REF!</v>
      </c>
      <c r="FG137" s="34" t="e">
        <f>AND(#REF!,"AAAAABpJX6I=")</f>
        <v>#REF!</v>
      </c>
      <c r="FH137" s="34" t="e">
        <f>IF(#REF!,"AAAAABpJX6M=",0)</f>
        <v>#REF!</v>
      </c>
      <c r="FI137" s="34" t="e">
        <f>AND(#REF!,"AAAAABpJX6Q=")</f>
        <v>#REF!</v>
      </c>
      <c r="FJ137" s="34" t="e">
        <f>AND(#REF!,"AAAAABpJX6U=")</f>
        <v>#REF!</v>
      </c>
      <c r="FK137" s="34" t="e">
        <f>AND(#REF!,"AAAAABpJX6Y=")</f>
        <v>#REF!</v>
      </c>
      <c r="FL137" s="34" t="e">
        <f>AND(#REF!,"AAAAABpJX6c=")</f>
        <v>#REF!</v>
      </c>
      <c r="FM137" s="34" t="e">
        <f>AND(#REF!,"AAAAABpJX6g=")</f>
        <v>#REF!</v>
      </c>
      <c r="FN137" s="34" t="e">
        <f>AND(#REF!,"AAAAABpJX6k=")</f>
        <v>#REF!</v>
      </c>
      <c r="FO137" s="34" t="e">
        <f>AND(#REF!,"AAAAABpJX6o=")</f>
        <v>#REF!</v>
      </c>
      <c r="FP137" s="34" t="e">
        <f>AND(#REF!,"AAAAABpJX6s=")</f>
        <v>#REF!</v>
      </c>
      <c r="FQ137" s="34" t="e">
        <f>AND(#REF!,"AAAAABpJX6w=")</f>
        <v>#REF!</v>
      </c>
      <c r="FR137" s="34" t="e">
        <f>AND(#REF!,"AAAAABpJX60=")</f>
        <v>#REF!</v>
      </c>
      <c r="FS137" s="34" t="e">
        <f>AND(#REF!,"AAAAABpJX64=")</f>
        <v>#REF!</v>
      </c>
      <c r="FT137" s="34" t="e">
        <f>AND(#REF!,"AAAAABpJX68=")</f>
        <v>#REF!</v>
      </c>
      <c r="FU137" s="34" t="e">
        <f>AND(#REF!,"AAAAABpJX7A=")</f>
        <v>#REF!</v>
      </c>
      <c r="FV137" s="34" t="e">
        <f>AND(#REF!,"AAAAABpJX7E=")</f>
        <v>#REF!</v>
      </c>
      <c r="FW137" s="34" t="e">
        <f>AND(#REF!,"AAAAABpJX7I=")</f>
        <v>#REF!</v>
      </c>
      <c r="FX137" s="34" t="e">
        <f>AND(#REF!,"AAAAABpJX7M=")</f>
        <v>#REF!</v>
      </c>
      <c r="FY137" s="34" t="e">
        <f>AND(#REF!,"AAAAABpJX7Q=")</f>
        <v>#REF!</v>
      </c>
      <c r="FZ137" s="34" t="e">
        <f>AND(#REF!,"AAAAABpJX7U=")</f>
        <v>#REF!</v>
      </c>
      <c r="GA137" s="34" t="e">
        <f>AND(#REF!,"AAAAABpJX7Y=")</f>
        <v>#REF!</v>
      </c>
      <c r="GB137" s="34" t="e">
        <f>AND(#REF!,"AAAAABpJX7c=")</f>
        <v>#REF!</v>
      </c>
      <c r="GC137" s="34" t="e">
        <f>AND(#REF!,"AAAAABpJX7g=")</f>
        <v>#REF!</v>
      </c>
      <c r="GD137" s="34" t="e">
        <f>AND(#REF!,"AAAAABpJX7k=")</f>
        <v>#REF!</v>
      </c>
      <c r="GE137" s="34" t="e">
        <f>AND(#REF!,"AAAAABpJX7o=")</f>
        <v>#REF!</v>
      </c>
      <c r="GF137" s="34" t="e">
        <f>AND(#REF!,"AAAAABpJX7s=")</f>
        <v>#REF!</v>
      </c>
      <c r="GG137" s="34" t="e">
        <f>AND(#REF!,"AAAAABpJX7w=")</f>
        <v>#REF!</v>
      </c>
      <c r="GH137" s="34" t="e">
        <f>AND(#REF!,"AAAAABpJX70=")</f>
        <v>#REF!</v>
      </c>
      <c r="GI137" s="34" t="e">
        <f>AND(#REF!,"AAAAABpJX74=")</f>
        <v>#REF!</v>
      </c>
      <c r="GJ137" s="34" t="e">
        <f>AND(#REF!,"AAAAABpJX78=")</f>
        <v>#REF!</v>
      </c>
      <c r="GK137" s="34" t="e">
        <f>AND(#REF!,"AAAAABpJX8A=")</f>
        <v>#REF!</v>
      </c>
      <c r="GL137" s="34" t="e">
        <f>AND(#REF!,"AAAAABpJX8E=")</f>
        <v>#REF!</v>
      </c>
      <c r="GM137" s="34" t="e">
        <f>AND(#REF!,"AAAAABpJX8I=")</f>
        <v>#REF!</v>
      </c>
      <c r="GN137" s="34" t="e">
        <f>AND(#REF!,"AAAAABpJX8M=")</f>
        <v>#REF!</v>
      </c>
      <c r="GO137" s="34" t="e">
        <f>AND(#REF!,"AAAAABpJX8Q=")</f>
        <v>#REF!</v>
      </c>
      <c r="GP137" s="34" t="e">
        <f>AND(#REF!,"AAAAABpJX8U=")</f>
        <v>#REF!</v>
      </c>
      <c r="GQ137" s="34" t="e">
        <f>AND(#REF!,"AAAAABpJX8Y=")</f>
        <v>#REF!</v>
      </c>
      <c r="GR137" s="34" t="e">
        <f>AND(#REF!,"AAAAABpJX8c=")</f>
        <v>#REF!</v>
      </c>
      <c r="GS137" s="34" t="e">
        <f>AND(#REF!,"AAAAABpJX8g=")</f>
        <v>#REF!</v>
      </c>
      <c r="GT137" s="34" t="e">
        <f>AND(#REF!,"AAAAABpJX8k=")</f>
        <v>#REF!</v>
      </c>
      <c r="GU137" s="34" t="e">
        <f>AND(#REF!,"AAAAABpJX8o=")</f>
        <v>#REF!</v>
      </c>
      <c r="GV137" s="34" t="e">
        <f>AND(#REF!,"AAAAABpJX8s=")</f>
        <v>#REF!</v>
      </c>
      <c r="GW137" s="34" t="e">
        <f>AND(#REF!,"AAAAABpJX8w=")</f>
        <v>#REF!</v>
      </c>
      <c r="GX137" s="34" t="e">
        <f>AND(#REF!,"AAAAABpJX80=")</f>
        <v>#REF!</v>
      </c>
      <c r="GY137" s="34" t="e">
        <f>IF(#REF!,"AAAAABpJX84=",0)</f>
        <v>#REF!</v>
      </c>
      <c r="GZ137" s="34" t="e">
        <f>AND(#REF!,"AAAAABpJX88=")</f>
        <v>#REF!</v>
      </c>
      <c r="HA137" s="34" t="e">
        <f>AND(#REF!,"AAAAABpJX9A=")</f>
        <v>#REF!</v>
      </c>
      <c r="HB137" s="34" t="e">
        <f>AND(#REF!,"AAAAABpJX9E=")</f>
        <v>#REF!</v>
      </c>
      <c r="HC137" s="34" t="e">
        <f>AND(#REF!,"AAAAABpJX9I=")</f>
        <v>#REF!</v>
      </c>
      <c r="HD137" s="34" t="e">
        <f>AND(#REF!,"AAAAABpJX9M=")</f>
        <v>#REF!</v>
      </c>
      <c r="HE137" s="34" t="e">
        <f>AND(#REF!,"AAAAABpJX9Q=")</f>
        <v>#REF!</v>
      </c>
      <c r="HF137" s="34" t="e">
        <f>AND(#REF!,"AAAAABpJX9U=")</f>
        <v>#REF!</v>
      </c>
      <c r="HG137" s="34" t="e">
        <f>AND(#REF!,"AAAAABpJX9Y=")</f>
        <v>#REF!</v>
      </c>
      <c r="HH137" s="34" t="e">
        <f>AND(#REF!,"AAAAABpJX9c=")</f>
        <v>#REF!</v>
      </c>
      <c r="HI137" s="34" t="e">
        <f>AND(#REF!,"AAAAABpJX9g=")</f>
        <v>#REF!</v>
      </c>
      <c r="HJ137" s="34" t="e">
        <f>AND(#REF!,"AAAAABpJX9k=")</f>
        <v>#REF!</v>
      </c>
      <c r="HK137" s="34" t="e">
        <f>AND(#REF!,"AAAAABpJX9o=")</f>
        <v>#REF!</v>
      </c>
      <c r="HL137" s="34" t="e">
        <f>AND(#REF!,"AAAAABpJX9s=")</f>
        <v>#REF!</v>
      </c>
      <c r="HM137" s="34" t="e">
        <f>AND(#REF!,"AAAAABpJX9w=")</f>
        <v>#REF!</v>
      </c>
      <c r="HN137" s="34" t="e">
        <f>AND(#REF!,"AAAAABpJX90=")</f>
        <v>#REF!</v>
      </c>
      <c r="HO137" s="34" t="e">
        <f>AND(#REF!,"AAAAABpJX94=")</f>
        <v>#REF!</v>
      </c>
      <c r="HP137" s="34" t="e">
        <f>AND(#REF!,"AAAAABpJX98=")</f>
        <v>#REF!</v>
      </c>
      <c r="HQ137" s="34" t="e">
        <f>AND(#REF!,"AAAAABpJX+A=")</f>
        <v>#REF!</v>
      </c>
      <c r="HR137" s="34" t="e">
        <f>AND(#REF!,"AAAAABpJX+E=")</f>
        <v>#REF!</v>
      </c>
      <c r="HS137" s="34" t="e">
        <f>AND(#REF!,"AAAAABpJX+I=")</f>
        <v>#REF!</v>
      </c>
      <c r="HT137" s="34" t="e">
        <f>AND(#REF!,"AAAAABpJX+M=")</f>
        <v>#REF!</v>
      </c>
      <c r="HU137" s="34" t="e">
        <f>AND(#REF!,"AAAAABpJX+Q=")</f>
        <v>#REF!</v>
      </c>
      <c r="HV137" s="34" t="e">
        <f>AND(#REF!,"AAAAABpJX+U=")</f>
        <v>#REF!</v>
      </c>
      <c r="HW137" s="34" t="e">
        <f>AND(#REF!,"AAAAABpJX+Y=")</f>
        <v>#REF!</v>
      </c>
      <c r="HX137" s="34" t="e">
        <f>AND(#REF!,"AAAAABpJX+c=")</f>
        <v>#REF!</v>
      </c>
      <c r="HY137" s="34" t="e">
        <f>AND(#REF!,"AAAAABpJX+g=")</f>
        <v>#REF!</v>
      </c>
      <c r="HZ137" s="34" t="e">
        <f>AND(#REF!,"AAAAABpJX+k=")</f>
        <v>#REF!</v>
      </c>
      <c r="IA137" s="34" t="e">
        <f>AND(#REF!,"AAAAABpJX+o=")</f>
        <v>#REF!</v>
      </c>
      <c r="IB137" s="34" t="e">
        <f>AND(#REF!,"AAAAABpJX+s=")</f>
        <v>#REF!</v>
      </c>
      <c r="IC137" s="34" t="e">
        <f>AND(#REF!,"AAAAABpJX+w=")</f>
        <v>#REF!</v>
      </c>
      <c r="ID137" s="34" t="e">
        <f>AND(#REF!,"AAAAABpJX+0=")</f>
        <v>#REF!</v>
      </c>
      <c r="IE137" s="34" t="e">
        <f>AND(#REF!,"AAAAABpJX+4=")</f>
        <v>#REF!</v>
      </c>
      <c r="IF137" s="34" t="e">
        <f>AND(#REF!,"AAAAABpJX+8=")</f>
        <v>#REF!</v>
      </c>
      <c r="IG137" s="34" t="e">
        <f>AND(#REF!,"AAAAABpJX/A=")</f>
        <v>#REF!</v>
      </c>
      <c r="IH137" s="34" t="e">
        <f>AND(#REF!,"AAAAABpJX/E=")</f>
        <v>#REF!</v>
      </c>
      <c r="II137" s="34" t="e">
        <f>AND(#REF!,"AAAAABpJX/I=")</f>
        <v>#REF!</v>
      </c>
      <c r="IJ137" s="34" t="e">
        <f>AND(#REF!,"AAAAABpJX/M=")</f>
        <v>#REF!</v>
      </c>
      <c r="IK137" s="34" t="e">
        <f>AND(#REF!,"AAAAABpJX/Q=")</f>
        <v>#REF!</v>
      </c>
      <c r="IL137" s="34" t="e">
        <f>AND(#REF!,"AAAAABpJX/U=")</f>
        <v>#REF!</v>
      </c>
      <c r="IM137" s="34" t="e">
        <f>AND(#REF!,"AAAAABpJX/Y=")</f>
        <v>#REF!</v>
      </c>
      <c r="IN137" s="34" t="e">
        <f>AND(#REF!,"AAAAABpJX/c=")</f>
        <v>#REF!</v>
      </c>
      <c r="IO137" s="34" t="e">
        <f>AND(#REF!,"AAAAABpJX/g=")</f>
        <v>#REF!</v>
      </c>
      <c r="IP137" s="34" t="e">
        <f>IF(#REF!,"AAAAABpJX/k=",0)</f>
        <v>#REF!</v>
      </c>
      <c r="IQ137" s="34" t="e">
        <f>AND(#REF!,"AAAAABpJX/o=")</f>
        <v>#REF!</v>
      </c>
      <c r="IR137" s="34" t="e">
        <f>AND(#REF!,"AAAAABpJX/s=")</f>
        <v>#REF!</v>
      </c>
      <c r="IS137" s="34" t="e">
        <f>AND(#REF!,"AAAAABpJX/w=")</f>
        <v>#REF!</v>
      </c>
      <c r="IT137" s="34" t="e">
        <f>AND(#REF!,"AAAAABpJX/0=")</f>
        <v>#REF!</v>
      </c>
      <c r="IU137" s="34" t="e">
        <f>AND(#REF!,"AAAAABpJX/4=")</f>
        <v>#REF!</v>
      </c>
      <c r="IV137" s="34" t="e">
        <f>AND(#REF!,"AAAAABpJX/8=")</f>
        <v>#REF!</v>
      </c>
    </row>
    <row r="138" spans="1:256" ht="12.75" customHeight="1" x14ac:dyDescent="0.2">
      <c r="A138" s="34" t="e">
        <f>AND(#REF!,"AAAAAEf//wA=")</f>
        <v>#REF!</v>
      </c>
      <c r="B138" s="34" t="e">
        <f>AND(#REF!,"AAAAAEf//wE=")</f>
        <v>#REF!</v>
      </c>
      <c r="C138" s="34" t="e">
        <f>AND(#REF!,"AAAAAEf//wI=")</f>
        <v>#REF!</v>
      </c>
      <c r="D138" s="34" t="e">
        <f>AND(#REF!,"AAAAAEf//wM=")</f>
        <v>#REF!</v>
      </c>
      <c r="E138" s="34" t="e">
        <f>AND(#REF!,"AAAAAEf//wQ=")</f>
        <v>#REF!</v>
      </c>
      <c r="F138" s="34" t="e">
        <f>AND(#REF!,"AAAAAEf//wU=")</f>
        <v>#REF!</v>
      </c>
      <c r="G138" s="34" t="e">
        <f>AND(#REF!,"AAAAAEf//wY=")</f>
        <v>#REF!</v>
      </c>
      <c r="H138" s="34" t="e">
        <f>AND(#REF!,"AAAAAEf//wc=")</f>
        <v>#REF!</v>
      </c>
      <c r="I138" s="34" t="e">
        <f>AND(#REF!,"AAAAAEf//wg=")</f>
        <v>#REF!</v>
      </c>
      <c r="J138" s="34" t="e">
        <f>AND(#REF!,"AAAAAEf//wk=")</f>
        <v>#REF!</v>
      </c>
      <c r="K138" s="34" t="e">
        <f>AND(#REF!,"AAAAAEf//wo=")</f>
        <v>#REF!</v>
      </c>
      <c r="L138" s="34" t="e">
        <f>AND(#REF!,"AAAAAEf//ws=")</f>
        <v>#REF!</v>
      </c>
      <c r="M138" s="34" t="e">
        <f>AND(#REF!,"AAAAAEf//ww=")</f>
        <v>#REF!</v>
      </c>
      <c r="N138" s="34" t="e">
        <f>AND(#REF!,"AAAAAEf//w0=")</f>
        <v>#REF!</v>
      </c>
      <c r="O138" s="34" t="e">
        <f>AND(#REF!,"AAAAAEf//w4=")</f>
        <v>#REF!</v>
      </c>
      <c r="P138" s="34" t="e">
        <f>AND(#REF!,"AAAAAEf//w8=")</f>
        <v>#REF!</v>
      </c>
      <c r="Q138" s="34" t="e">
        <f>AND(#REF!,"AAAAAEf//xA=")</f>
        <v>#REF!</v>
      </c>
      <c r="R138" s="34" t="e">
        <f>AND(#REF!,"AAAAAEf//xE=")</f>
        <v>#REF!</v>
      </c>
      <c r="S138" s="34" t="e">
        <f>AND(#REF!,"AAAAAEf//xI=")</f>
        <v>#REF!</v>
      </c>
      <c r="T138" s="34" t="e">
        <f>AND(#REF!,"AAAAAEf//xM=")</f>
        <v>#REF!</v>
      </c>
      <c r="U138" s="34" t="e">
        <f>AND(#REF!,"AAAAAEf//xQ=")</f>
        <v>#REF!</v>
      </c>
      <c r="V138" s="34" t="e">
        <f>AND(#REF!,"AAAAAEf//xU=")</f>
        <v>#REF!</v>
      </c>
      <c r="W138" s="34" t="e">
        <f>AND(#REF!,"AAAAAEf//xY=")</f>
        <v>#REF!</v>
      </c>
      <c r="X138" s="34" t="e">
        <f>AND(#REF!,"AAAAAEf//xc=")</f>
        <v>#REF!</v>
      </c>
      <c r="Y138" s="34" t="e">
        <f>AND(#REF!,"AAAAAEf//xg=")</f>
        <v>#REF!</v>
      </c>
      <c r="Z138" s="34" t="e">
        <f>AND(#REF!,"AAAAAEf//xk=")</f>
        <v>#REF!</v>
      </c>
      <c r="AA138" s="34" t="e">
        <f>AND(#REF!,"AAAAAEf//xo=")</f>
        <v>#REF!</v>
      </c>
      <c r="AB138" s="34" t="e">
        <f>AND(#REF!,"AAAAAEf//xs=")</f>
        <v>#REF!</v>
      </c>
      <c r="AC138" s="34" t="e">
        <f>AND(#REF!,"AAAAAEf//xw=")</f>
        <v>#REF!</v>
      </c>
      <c r="AD138" s="34" t="e">
        <f>AND(#REF!,"AAAAAEf//x0=")</f>
        <v>#REF!</v>
      </c>
      <c r="AE138" s="34" t="e">
        <f>AND(#REF!,"AAAAAEf//x4=")</f>
        <v>#REF!</v>
      </c>
      <c r="AF138" s="34" t="e">
        <f>AND(#REF!,"AAAAAEf//x8=")</f>
        <v>#REF!</v>
      </c>
      <c r="AG138" s="34" t="e">
        <f>AND(#REF!,"AAAAAEf//yA=")</f>
        <v>#REF!</v>
      </c>
      <c r="AH138" s="34" t="e">
        <f>AND(#REF!,"AAAAAEf//yE=")</f>
        <v>#REF!</v>
      </c>
      <c r="AI138" s="34" t="e">
        <f>AND(#REF!,"AAAAAEf//yI=")</f>
        <v>#REF!</v>
      </c>
      <c r="AJ138" s="34" t="e">
        <f>AND(#REF!,"AAAAAEf//yM=")</f>
        <v>#REF!</v>
      </c>
      <c r="AK138" s="34" t="e">
        <f>IF(#REF!,"AAAAAEf//yQ=",0)</f>
        <v>#REF!</v>
      </c>
      <c r="AL138" s="34" t="e">
        <f>AND(#REF!,"AAAAAEf//yU=")</f>
        <v>#REF!</v>
      </c>
      <c r="AM138" s="34" t="e">
        <f>AND(#REF!,"AAAAAEf//yY=")</f>
        <v>#REF!</v>
      </c>
      <c r="AN138" s="34" t="e">
        <f>AND(#REF!,"AAAAAEf//yc=")</f>
        <v>#REF!</v>
      </c>
      <c r="AO138" s="34" t="e">
        <f>AND(#REF!,"AAAAAEf//yg=")</f>
        <v>#REF!</v>
      </c>
      <c r="AP138" s="34" t="e">
        <f>AND(#REF!,"AAAAAEf//yk=")</f>
        <v>#REF!</v>
      </c>
      <c r="AQ138" s="34" t="e">
        <f>AND(#REF!,"AAAAAEf//yo=")</f>
        <v>#REF!</v>
      </c>
      <c r="AR138" s="34" t="e">
        <f>AND(#REF!,"AAAAAEf//ys=")</f>
        <v>#REF!</v>
      </c>
      <c r="AS138" s="34" t="e">
        <f>AND(#REF!,"AAAAAEf//yw=")</f>
        <v>#REF!</v>
      </c>
      <c r="AT138" s="34" t="e">
        <f>AND(#REF!,"AAAAAEf//y0=")</f>
        <v>#REF!</v>
      </c>
      <c r="AU138" s="34" t="e">
        <f>AND(#REF!,"AAAAAEf//y4=")</f>
        <v>#REF!</v>
      </c>
      <c r="AV138" s="34" t="e">
        <f>AND(#REF!,"AAAAAEf//y8=")</f>
        <v>#REF!</v>
      </c>
      <c r="AW138" s="34" t="e">
        <f>AND(#REF!,"AAAAAEf//zA=")</f>
        <v>#REF!</v>
      </c>
      <c r="AX138" s="34" t="e">
        <f>AND(#REF!,"AAAAAEf//zE=")</f>
        <v>#REF!</v>
      </c>
      <c r="AY138" s="34" t="e">
        <f>AND(#REF!,"AAAAAEf//zI=")</f>
        <v>#REF!</v>
      </c>
      <c r="AZ138" s="34" t="e">
        <f>AND(#REF!,"AAAAAEf//zM=")</f>
        <v>#REF!</v>
      </c>
      <c r="BA138" s="34" t="e">
        <f>AND(#REF!,"AAAAAEf//zQ=")</f>
        <v>#REF!</v>
      </c>
      <c r="BB138" s="34" t="e">
        <f>AND(#REF!,"AAAAAEf//zU=")</f>
        <v>#REF!</v>
      </c>
      <c r="BC138" s="34" t="e">
        <f>AND(#REF!,"AAAAAEf//zY=")</f>
        <v>#REF!</v>
      </c>
      <c r="BD138" s="34" t="e">
        <f>AND(#REF!,"AAAAAEf//zc=")</f>
        <v>#REF!</v>
      </c>
      <c r="BE138" s="34" t="e">
        <f>AND(#REF!,"AAAAAEf//zg=")</f>
        <v>#REF!</v>
      </c>
      <c r="BF138" s="34" t="e">
        <f>AND(#REF!,"AAAAAEf//zk=")</f>
        <v>#REF!</v>
      </c>
      <c r="BG138" s="34" t="e">
        <f>AND(#REF!,"AAAAAEf//zo=")</f>
        <v>#REF!</v>
      </c>
      <c r="BH138" s="34" t="e">
        <f>AND(#REF!,"AAAAAEf//zs=")</f>
        <v>#REF!</v>
      </c>
      <c r="BI138" s="34" t="e">
        <f>AND(#REF!,"AAAAAEf//zw=")</f>
        <v>#REF!</v>
      </c>
      <c r="BJ138" s="34" t="e">
        <f>AND(#REF!,"AAAAAEf//z0=")</f>
        <v>#REF!</v>
      </c>
      <c r="BK138" s="34" t="e">
        <f>AND(#REF!,"AAAAAEf//z4=")</f>
        <v>#REF!</v>
      </c>
      <c r="BL138" s="34" t="e">
        <f>AND(#REF!,"AAAAAEf//z8=")</f>
        <v>#REF!</v>
      </c>
      <c r="BM138" s="34" t="e">
        <f>AND(#REF!,"AAAAAEf//0A=")</f>
        <v>#REF!</v>
      </c>
      <c r="BN138" s="34" t="e">
        <f>AND(#REF!,"AAAAAEf//0E=")</f>
        <v>#REF!</v>
      </c>
      <c r="BO138" s="34" t="e">
        <f>AND(#REF!,"AAAAAEf//0I=")</f>
        <v>#REF!</v>
      </c>
      <c r="BP138" s="34" t="e">
        <f>AND(#REF!,"AAAAAEf//0M=")</f>
        <v>#REF!</v>
      </c>
      <c r="BQ138" s="34" t="e">
        <f>AND(#REF!,"AAAAAEf//0Q=")</f>
        <v>#REF!</v>
      </c>
      <c r="BR138" s="34" t="e">
        <f>AND(#REF!,"AAAAAEf//0U=")</f>
        <v>#REF!</v>
      </c>
      <c r="BS138" s="34" t="e">
        <f>AND(#REF!,"AAAAAEf//0Y=")</f>
        <v>#REF!</v>
      </c>
      <c r="BT138" s="34" t="e">
        <f>AND(#REF!,"AAAAAEf//0c=")</f>
        <v>#REF!</v>
      </c>
      <c r="BU138" s="34" t="e">
        <f>AND(#REF!,"AAAAAEf//0g=")</f>
        <v>#REF!</v>
      </c>
      <c r="BV138" s="34" t="e">
        <f>AND(#REF!,"AAAAAEf//0k=")</f>
        <v>#REF!</v>
      </c>
      <c r="BW138" s="34" t="e">
        <f>AND(#REF!,"AAAAAEf//0o=")</f>
        <v>#REF!</v>
      </c>
      <c r="BX138" s="34" t="e">
        <f>AND(#REF!,"AAAAAEf//0s=")</f>
        <v>#REF!</v>
      </c>
      <c r="BY138" s="34" t="e">
        <f>AND(#REF!,"AAAAAEf//0w=")</f>
        <v>#REF!</v>
      </c>
      <c r="BZ138" s="34" t="e">
        <f>AND(#REF!,"AAAAAEf//00=")</f>
        <v>#REF!</v>
      </c>
      <c r="CA138" s="34" t="e">
        <f>AND(#REF!,"AAAAAEf//04=")</f>
        <v>#REF!</v>
      </c>
      <c r="CB138" s="34" t="e">
        <f>IF(#REF!,"AAAAAEf//08=",0)</f>
        <v>#REF!</v>
      </c>
      <c r="CC138" s="34" t="e">
        <f>AND(#REF!,"AAAAAEf//1A=")</f>
        <v>#REF!</v>
      </c>
      <c r="CD138" s="34" t="e">
        <f>AND(#REF!,"AAAAAEf//1E=")</f>
        <v>#REF!</v>
      </c>
      <c r="CE138" s="34" t="e">
        <f>AND(#REF!,"AAAAAEf//1I=")</f>
        <v>#REF!</v>
      </c>
      <c r="CF138" s="34" t="e">
        <f>AND(#REF!,"AAAAAEf//1M=")</f>
        <v>#REF!</v>
      </c>
      <c r="CG138" s="34" t="e">
        <f>AND(#REF!,"AAAAAEf//1Q=")</f>
        <v>#REF!</v>
      </c>
      <c r="CH138" s="34" t="e">
        <f>AND(#REF!,"AAAAAEf//1U=")</f>
        <v>#REF!</v>
      </c>
      <c r="CI138" s="34" t="e">
        <f>AND(#REF!,"AAAAAEf//1Y=")</f>
        <v>#REF!</v>
      </c>
      <c r="CJ138" s="34" t="e">
        <f>AND(#REF!,"AAAAAEf//1c=")</f>
        <v>#REF!</v>
      </c>
      <c r="CK138" s="34" t="e">
        <f>AND(#REF!,"AAAAAEf//1g=")</f>
        <v>#REF!</v>
      </c>
      <c r="CL138" s="34" t="e">
        <f>AND(#REF!,"AAAAAEf//1k=")</f>
        <v>#REF!</v>
      </c>
      <c r="CM138" s="34" t="e">
        <f>AND(#REF!,"AAAAAEf//1o=")</f>
        <v>#REF!</v>
      </c>
      <c r="CN138" s="34" t="e">
        <f>AND(#REF!,"AAAAAEf//1s=")</f>
        <v>#REF!</v>
      </c>
      <c r="CO138" s="34" t="e">
        <f>AND(#REF!,"AAAAAEf//1w=")</f>
        <v>#REF!</v>
      </c>
      <c r="CP138" s="34" t="e">
        <f>AND(#REF!,"AAAAAEf//10=")</f>
        <v>#REF!</v>
      </c>
      <c r="CQ138" s="34" t="e">
        <f>AND(#REF!,"AAAAAEf//14=")</f>
        <v>#REF!</v>
      </c>
      <c r="CR138" s="34" t="e">
        <f>AND(#REF!,"AAAAAEf//18=")</f>
        <v>#REF!</v>
      </c>
      <c r="CS138" s="34" t="e">
        <f>AND(#REF!,"AAAAAEf//2A=")</f>
        <v>#REF!</v>
      </c>
      <c r="CT138" s="34" t="e">
        <f>AND(#REF!,"AAAAAEf//2E=")</f>
        <v>#REF!</v>
      </c>
      <c r="CU138" s="34" t="e">
        <f>AND(#REF!,"AAAAAEf//2I=")</f>
        <v>#REF!</v>
      </c>
      <c r="CV138" s="34" t="e">
        <f>AND(#REF!,"AAAAAEf//2M=")</f>
        <v>#REF!</v>
      </c>
      <c r="CW138" s="34" t="e">
        <f>AND(#REF!,"AAAAAEf//2Q=")</f>
        <v>#REF!</v>
      </c>
      <c r="CX138" s="34" t="e">
        <f>AND(#REF!,"AAAAAEf//2U=")</f>
        <v>#REF!</v>
      </c>
      <c r="CY138" s="34" t="e">
        <f>AND(#REF!,"AAAAAEf//2Y=")</f>
        <v>#REF!</v>
      </c>
      <c r="CZ138" s="34" t="e">
        <f>AND(#REF!,"AAAAAEf//2c=")</f>
        <v>#REF!</v>
      </c>
      <c r="DA138" s="34" t="e">
        <f>AND(#REF!,"AAAAAEf//2g=")</f>
        <v>#REF!</v>
      </c>
      <c r="DB138" s="34" t="e">
        <f>AND(#REF!,"AAAAAEf//2k=")</f>
        <v>#REF!</v>
      </c>
      <c r="DC138" s="34" t="e">
        <f>AND(#REF!,"AAAAAEf//2o=")</f>
        <v>#REF!</v>
      </c>
      <c r="DD138" s="34" t="e">
        <f>AND(#REF!,"AAAAAEf//2s=")</f>
        <v>#REF!</v>
      </c>
      <c r="DE138" s="34" t="e">
        <f>AND(#REF!,"AAAAAEf//2w=")</f>
        <v>#REF!</v>
      </c>
      <c r="DF138" s="34" t="e">
        <f>AND(#REF!,"AAAAAEf//20=")</f>
        <v>#REF!</v>
      </c>
      <c r="DG138" s="34" t="e">
        <f>AND(#REF!,"AAAAAEf//24=")</f>
        <v>#REF!</v>
      </c>
      <c r="DH138" s="34" t="e">
        <f>AND(#REF!,"AAAAAEf//28=")</f>
        <v>#REF!</v>
      </c>
      <c r="DI138" s="34" t="e">
        <f>AND(#REF!,"AAAAAEf//3A=")</f>
        <v>#REF!</v>
      </c>
      <c r="DJ138" s="34" t="e">
        <f>AND(#REF!,"AAAAAEf//3E=")</f>
        <v>#REF!</v>
      </c>
      <c r="DK138" s="34" t="e">
        <f>AND(#REF!,"AAAAAEf//3I=")</f>
        <v>#REF!</v>
      </c>
      <c r="DL138" s="34" t="e">
        <f>AND(#REF!,"AAAAAEf//3M=")</f>
        <v>#REF!</v>
      </c>
      <c r="DM138" s="34" t="e">
        <f>AND(#REF!,"AAAAAEf//3Q=")</f>
        <v>#REF!</v>
      </c>
      <c r="DN138" s="34" t="e">
        <f>AND(#REF!,"AAAAAEf//3U=")</f>
        <v>#REF!</v>
      </c>
      <c r="DO138" s="34" t="e">
        <f>AND(#REF!,"AAAAAEf//3Y=")</f>
        <v>#REF!</v>
      </c>
      <c r="DP138" s="34" t="e">
        <f>AND(#REF!,"AAAAAEf//3c=")</f>
        <v>#REF!</v>
      </c>
      <c r="DQ138" s="34" t="e">
        <f>AND(#REF!,"AAAAAEf//3g=")</f>
        <v>#REF!</v>
      </c>
      <c r="DR138" s="34" t="e">
        <f>AND(#REF!,"AAAAAEf//3k=")</f>
        <v>#REF!</v>
      </c>
      <c r="DS138" s="34" t="e">
        <f>IF(#REF!,"AAAAAEf//3o=",0)</f>
        <v>#REF!</v>
      </c>
      <c r="DT138" s="34" t="e">
        <f>AND(#REF!,"AAAAAEf//3s=")</f>
        <v>#REF!</v>
      </c>
      <c r="DU138" s="34" t="e">
        <f>AND(#REF!,"AAAAAEf//3w=")</f>
        <v>#REF!</v>
      </c>
      <c r="DV138" s="34" t="e">
        <f>AND(#REF!,"AAAAAEf//30=")</f>
        <v>#REF!</v>
      </c>
      <c r="DW138" s="34" t="e">
        <f>AND(#REF!,"AAAAAEf//34=")</f>
        <v>#REF!</v>
      </c>
      <c r="DX138" s="34" t="e">
        <f>AND(#REF!,"AAAAAEf//38=")</f>
        <v>#REF!</v>
      </c>
      <c r="DY138" s="34" t="e">
        <f>AND(#REF!,"AAAAAEf//4A=")</f>
        <v>#REF!</v>
      </c>
      <c r="DZ138" s="34" t="e">
        <f>AND(#REF!,"AAAAAEf//4E=")</f>
        <v>#REF!</v>
      </c>
      <c r="EA138" s="34" t="e">
        <f>AND(#REF!,"AAAAAEf//4I=")</f>
        <v>#REF!</v>
      </c>
      <c r="EB138" s="34" t="e">
        <f>AND(#REF!,"AAAAAEf//4M=")</f>
        <v>#REF!</v>
      </c>
      <c r="EC138" s="34" t="e">
        <f>AND(#REF!,"AAAAAEf//4Q=")</f>
        <v>#REF!</v>
      </c>
      <c r="ED138" s="34" t="e">
        <f>AND(#REF!,"AAAAAEf//4U=")</f>
        <v>#REF!</v>
      </c>
      <c r="EE138" s="34" t="e">
        <f>AND(#REF!,"AAAAAEf//4Y=")</f>
        <v>#REF!</v>
      </c>
      <c r="EF138" s="34" t="e">
        <f>AND(#REF!,"AAAAAEf//4c=")</f>
        <v>#REF!</v>
      </c>
      <c r="EG138" s="34" t="e">
        <f>AND(#REF!,"AAAAAEf//4g=")</f>
        <v>#REF!</v>
      </c>
      <c r="EH138" s="34" t="e">
        <f>AND(#REF!,"AAAAAEf//4k=")</f>
        <v>#REF!</v>
      </c>
      <c r="EI138" s="34" t="e">
        <f>AND(#REF!,"AAAAAEf//4o=")</f>
        <v>#REF!</v>
      </c>
      <c r="EJ138" s="34" t="e">
        <f>AND(#REF!,"AAAAAEf//4s=")</f>
        <v>#REF!</v>
      </c>
      <c r="EK138" s="34" t="e">
        <f>AND(#REF!,"AAAAAEf//4w=")</f>
        <v>#REF!</v>
      </c>
      <c r="EL138" s="34" t="e">
        <f>AND(#REF!,"AAAAAEf//40=")</f>
        <v>#REF!</v>
      </c>
      <c r="EM138" s="34" t="e">
        <f>AND(#REF!,"AAAAAEf//44=")</f>
        <v>#REF!</v>
      </c>
      <c r="EN138" s="34" t="e">
        <f>AND(#REF!,"AAAAAEf//48=")</f>
        <v>#REF!</v>
      </c>
      <c r="EO138" s="34" t="e">
        <f>AND(#REF!,"AAAAAEf//5A=")</f>
        <v>#REF!</v>
      </c>
      <c r="EP138" s="34" t="e">
        <f>AND(#REF!,"AAAAAEf//5E=")</f>
        <v>#REF!</v>
      </c>
      <c r="EQ138" s="34" t="e">
        <f>AND(#REF!,"AAAAAEf//5I=")</f>
        <v>#REF!</v>
      </c>
      <c r="ER138" s="34" t="e">
        <f>AND(#REF!,"AAAAAEf//5M=")</f>
        <v>#REF!</v>
      </c>
      <c r="ES138" s="34" t="e">
        <f>AND(#REF!,"AAAAAEf//5Q=")</f>
        <v>#REF!</v>
      </c>
      <c r="ET138" s="34" t="e">
        <f>AND(#REF!,"AAAAAEf//5U=")</f>
        <v>#REF!</v>
      </c>
      <c r="EU138" s="34" t="e">
        <f>AND(#REF!,"AAAAAEf//5Y=")</f>
        <v>#REF!</v>
      </c>
      <c r="EV138" s="34" t="e">
        <f>AND(#REF!,"AAAAAEf//5c=")</f>
        <v>#REF!</v>
      </c>
      <c r="EW138" s="34" t="e">
        <f>AND(#REF!,"AAAAAEf//5g=")</f>
        <v>#REF!</v>
      </c>
      <c r="EX138" s="34" t="e">
        <f>AND(#REF!,"AAAAAEf//5k=")</f>
        <v>#REF!</v>
      </c>
      <c r="EY138" s="34" t="e">
        <f>AND(#REF!,"AAAAAEf//5o=")</f>
        <v>#REF!</v>
      </c>
      <c r="EZ138" s="34" t="e">
        <f>AND(#REF!,"AAAAAEf//5s=")</f>
        <v>#REF!</v>
      </c>
      <c r="FA138" s="34" t="e">
        <f>AND(#REF!,"AAAAAEf//5w=")</f>
        <v>#REF!</v>
      </c>
      <c r="FB138" s="34" t="e">
        <f>AND(#REF!,"AAAAAEf//50=")</f>
        <v>#REF!</v>
      </c>
      <c r="FC138" s="34" t="e">
        <f>AND(#REF!,"AAAAAEf//54=")</f>
        <v>#REF!</v>
      </c>
      <c r="FD138" s="34" t="e">
        <f>AND(#REF!,"AAAAAEf//58=")</f>
        <v>#REF!</v>
      </c>
      <c r="FE138" s="34" t="e">
        <f>AND(#REF!,"AAAAAEf//6A=")</f>
        <v>#REF!</v>
      </c>
      <c r="FF138" s="34" t="e">
        <f>AND(#REF!,"AAAAAEf//6E=")</f>
        <v>#REF!</v>
      </c>
      <c r="FG138" s="34" t="e">
        <f>AND(#REF!,"AAAAAEf//6I=")</f>
        <v>#REF!</v>
      </c>
      <c r="FH138" s="34" t="e">
        <f>AND(#REF!,"AAAAAEf//6M=")</f>
        <v>#REF!</v>
      </c>
      <c r="FI138" s="34" t="e">
        <f>AND(#REF!,"AAAAAEf//6Q=")</f>
        <v>#REF!</v>
      </c>
      <c r="FJ138" s="34" t="e">
        <f>IF(#REF!,"AAAAAEf//6U=",0)</f>
        <v>#REF!</v>
      </c>
      <c r="FK138" s="34" t="e">
        <f>IF(#REF!,"AAAAAEf//6Y=",0)</f>
        <v>#REF!</v>
      </c>
      <c r="FL138" s="34" t="e">
        <f>IF(#REF!,"AAAAAEf//6c=",0)</f>
        <v>#REF!</v>
      </c>
      <c r="FM138" s="34" t="e">
        <f>IF(#REF!,"AAAAAEf//6g=",0)</f>
        <v>#REF!</v>
      </c>
      <c r="FN138" s="34" t="e">
        <f>IF(#REF!,"AAAAAEf//6k=",0)</f>
        <v>#REF!</v>
      </c>
      <c r="FO138" s="34" t="e">
        <f>IF(#REF!,"AAAAAEf//6o=",0)</f>
        <v>#REF!</v>
      </c>
      <c r="FP138" s="34" t="e">
        <f>IF(#REF!,"AAAAAEf//6s=",0)</f>
        <v>#REF!</v>
      </c>
      <c r="FQ138" s="34" t="e">
        <f>IF(#REF!,"AAAAAEf//6w=",0)</f>
        <v>#REF!</v>
      </c>
      <c r="FR138" s="34" t="e">
        <f>IF(#REF!,"AAAAAEf//60=",0)</f>
        <v>#REF!</v>
      </c>
      <c r="FS138" s="34" t="e">
        <f>IF(#REF!,"AAAAAEf//64=",0)</f>
        <v>#REF!</v>
      </c>
      <c r="FT138" s="34" t="e">
        <f>IF(#REF!,"AAAAAEf//68=",0)</f>
        <v>#REF!</v>
      </c>
      <c r="FU138" s="34" t="e">
        <f>IF(#REF!,"AAAAAEf//7A=",0)</f>
        <v>#REF!</v>
      </c>
      <c r="FV138" s="34" t="e">
        <f>IF(#REF!,"AAAAAEf//7E=",0)</f>
        <v>#REF!</v>
      </c>
      <c r="FW138" s="34" t="e">
        <f>IF(#REF!,"AAAAAEf//7I=",0)</f>
        <v>#REF!</v>
      </c>
      <c r="FX138" s="34" t="e">
        <f>IF(#REF!,"AAAAAEf//7M=",0)</f>
        <v>#REF!</v>
      </c>
      <c r="FY138" s="34" t="e">
        <f>IF(#REF!,"AAAAAEf//7Q=",0)</f>
        <v>#REF!</v>
      </c>
      <c r="FZ138" s="34" t="e">
        <f>IF(#REF!,"AAAAAEf//7U=",0)</f>
        <v>#REF!</v>
      </c>
      <c r="GA138" s="34" t="e">
        <f>IF(#REF!,"AAAAAEf//7Y=",0)</f>
        <v>#REF!</v>
      </c>
      <c r="GB138" s="34" t="e">
        <f>IF(#REF!,"AAAAAEf//7c=",0)</f>
        <v>#REF!</v>
      </c>
      <c r="GC138" s="34" t="e">
        <f>IF(#REF!,"AAAAAEf//7g=",0)</f>
        <v>#REF!</v>
      </c>
      <c r="GD138" s="34" t="e">
        <f>IF(#REF!,"AAAAAEf//7k=",0)</f>
        <v>#REF!</v>
      </c>
      <c r="GE138" s="34" t="e">
        <f>IF(#REF!,"AAAAAEf//7o=",0)</f>
        <v>#REF!</v>
      </c>
      <c r="GF138" s="34" t="e">
        <f>IF(#REF!,"AAAAAEf//7s=",0)</f>
        <v>#REF!</v>
      </c>
      <c r="GG138" s="34" t="e">
        <f>IF(#REF!,"AAAAAEf//7w=",0)</f>
        <v>#REF!</v>
      </c>
      <c r="GH138" s="34" t="e">
        <f>IF(#REF!,"AAAAAEf//70=",0)</f>
        <v>#REF!</v>
      </c>
      <c r="GI138" s="34" t="e">
        <f>IF(#REF!,"AAAAAEf//74=",0)</f>
        <v>#REF!</v>
      </c>
      <c r="GJ138" s="34" t="e">
        <f>IF(#REF!,"AAAAAEf//78=",0)</f>
        <v>#REF!</v>
      </c>
      <c r="GK138" s="34" t="e">
        <f>IF(#REF!,"AAAAAEf//8A=",0)</f>
        <v>#REF!</v>
      </c>
      <c r="GL138" s="34" t="e">
        <f>IF(#REF!,"AAAAAEf//8E=",0)</f>
        <v>#REF!</v>
      </c>
      <c r="GM138" s="34" t="e">
        <f>IF(#REF!,"AAAAAEf//8I=",0)</f>
        <v>#REF!</v>
      </c>
      <c r="GN138" s="34" t="e">
        <f>IF(#REF!,"AAAAAEf//8M=",0)</f>
        <v>#REF!</v>
      </c>
      <c r="GO138" s="34" t="e">
        <f>IF(#REF!,"AAAAAEf//8Q=",0)</f>
        <v>#REF!</v>
      </c>
      <c r="GP138" s="34" t="e">
        <f>IF(#REF!,"AAAAAEf//8U=",0)</f>
        <v>#REF!</v>
      </c>
      <c r="GQ138" s="34" t="e">
        <f>IF(#REF!,"AAAAAEf//8Y=",0)</f>
        <v>#REF!</v>
      </c>
      <c r="GR138" s="34" t="e">
        <f>IF(#REF!,"AAAAAEf//8c=",0)</f>
        <v>#REF!</v>
      </c>
      <c r="GS138" s="34" t="e">
        <f>IF(#REF!,"AAAAAEf//8g=",0)</f>
        <v>#REF!</v>
      </c>
      <c r="GT138" s="34" t="e">
        <f>IF(#REF!,"AAAAAEf//8k=",0)</f>
        <v>#REF!</v>
      </c>
      <c r="GU138" s="34" t="e">
        <f>IF(#REF!,"AAAAAEf//8o=",0)</f>
        <v>#REF!</v>
      </c>
      <c r="GV138" s="34" t="e">
        <f>IF(#REF!,"AAAAAEf//8s=",0)</f>
        <v>#REF!</v>
      </c>
      <c r="GW138" s="34" t="e">
        <f>IF(#REF!,"AAAAAEf//8w=",0)</f>
        <v>#REF!</v>
      </c>
      <c r="GX138" s="34" t="e">
        <f>IF(#REF!,"AAAAAEf//80=",0)</f>
        <v>#REF!</v>
      </c>
      <c r="GY138" s="34" t="e">
        <f>IF(#REF!,"AAAAAEf//84=",0)</f>
        <v>#REF!</v>
      </c>
      <c r="GZ138" s="34" t="e">
        <f>IF(#REF!,"AAAAAEf//88=",0)</f>
        <v>#REF!</v>
      </c>
      <c r="HA138" s="34" t="e">
        <f>AND(#REF!,"AAAAAEf//9A=")</f>
        <v>#REF!</v>
      </c>
      <c r="HB138" s="34" t="e">
        <f>AND(#REF!,"AAAAAEf//9E=")</f>
        <v>#REF!</v>
      </c>
      <c r="HC138" s="34" t="e">
        <f>AND(#REF!,"AAAAAEf//9I=")</f>
        <v>#REF!</v>
      </c>
      <c r="HD138" s="34" t="e">
        <f>AND(#REF!,"AAAAAEf//9M=")</f>
        <v>#REF!</v>
      </c>
      <c r="HE138" s="34" t="e">
        <f>AND(#REF!,"AAAAAEf//9Q=")</f>
        <v>#REF!</v>
      </c>
      <c r="HF138" s="34" t="e">
        <f>AND(#REF!,"AAAAAEf//9U=")</f>
        <v>#REF!</v>
      </c>
      <c r="HG138" s="34" t="e">
        <f>AND(#REF!,"AAAAAEf//9Y=")</f>
        <v>#REF!</v>
      </c>
      <c r="HH138" s="34" t="e">
        <f>IF(#REF!,"AAAAAEf//9c=",0)</f>
        <v>#REF!</v>
      </c>
      <c r="HI138" s="34" t="e">
        <f>AND(#REF!,"AAAAAEf//9g=")</f>
        <v>#REF!</v>
      </c>
      <c r="HJ138" s="34" t="e">
        <f>AND(#REF!,"AAAAAEf//9k=")</f>
        <v>#REF!</v>
      </c>
      <c r="HK138" s="34" t="e">
        <f>AND(#REF!,"AAAAAEf//9o=")</f>
        <v>#REF!</v>
      </c>
      <c r="HL138" s="34" t="e">
        <f>AND(#REF!,"AAAAAEf//9s=")</f>
        <v>#REF!</v>
      </c>
      <c r="HM138" s="34" t="e">
        <f>AND(#REF!,"AAAAAEf//9w=")</f>
        <v>#REF!</v>
      </c>
      <c r="HN138" s="34" t="e">
        <f>AND(#REF!,"AAAAAEf//90=")</f>
        <v>#REF!</v>
      </c>
      <c r="HO138" s="34" t="e">
        <f>AND(#REF!,"AAAAAEf//94=")</f>
        <v>#REF!</v>
      </c>
      <c r="HP138" s="34" t="e">
        <f>IF(#REF!,"AAAAAEf//98=",0)</f>
        <v>#REF!</v>
      </c>
      <c r="HQ138" s="34" t="e">
        <f>AND(#REF!,"AAAAAEf//+A=")</f>
        <v>#REF!</v>
      </c>
      <c r="HR138" s="34" t="e">
        <f>AND(#REF!,"AAAAAEf//+E=")</f>
        <v>#REF!</v>
      </c>
      <c r="HS138" s="34" t="e">
        <f>AND(#REF!,"AAAAAEf//+I=")</f>
        <v>#REF!</v>
      </c>
      <c r="HT138" s="34" t="e">
        <f>AND(#REF!,"AAAAAEf//+M=")</f>
        <v>#REF!</v>
      </c>
      <c r="HU138" s="34" t="e">
        <f>AND(#REF!,"AAAAAEf//+Q=")</f>
        <v>#REF!</v>
      </c>
      <c r="HV138" s="34" t="e">
        <f>AND(#REF!,"AAAAAEf//+U=")</f>
        <v>#REF!</v>
      </c>
      <c r="HW138" s="34" t="e">
        <f>AND(#REF!,"AAAAAEf//+Y=")</f>
        <v>#REF!</v>
      </c>
      <c r="HX138" s="34" t="e">
        <f>IF(#REF!,"AAAAAEf//+c=",0)</f>
        <v>#REF!</v>
      </c>
      <c r="HY138" s="34" t="e">
        <f>AND(#REF!,"AAAAAEf//+g=")</f>
        <v>#REF!</v>
      </c>
      <c r="HZ138" s="34" t="e">
        <f>AND(#REF!,"AAAAAEf//+k=")</f>
        <v>#REF!</v>
      </c>
      <c r="IA138" s="34" t="e">
        <f>AND(#REF!,"AAAAAEf//+o=")</f>
        <v>#REF!</v>
      </c>
      <c r="IB138" s="34" t="e">
        <f>AND(#REF!,"AAAAAEf//+s=")</f>
        <v>#REF!</v>
      </c>
      <c r="IC138" s="34" t="e">
        <f>AND(#REF!,"AAAAAEf//+w=")</f>
        <v>#REF!</v>
      </c>
      <c r="ID138" s="34" t="e">
        <f>AND(#REF!,"AAAAAEf//+0=")</f>
        <v>#REF!</v>
      </c>
      <c r="IE138" s="34" t="e">
        <f>AND(#REF!,"AAAAAEf//+4=")</f>
        <v>#REF!</v>
      </c>
      <c r="IF138" s="34" t="e">
        <f>IF(#REF!,"AAAAAEf//+8=",0)</f>
        <v>#REF!</v>
      </c>
      <c r="IG138" s="34" t="e">
        <f>AND(#REF!,"AAAAAEf///A=")</f>
        <v>#REF!</v>
      </c>
      <c r="IH138" s="34" t="e">
        <f>AND(#REF!,"AAAAAEf///E=")</f>
        <v>#REF!</v>
      </c>
      <c r="II138" s="34" t="e">
        <f>AND(#REF!,"AAAAAEf///I=")</f>
        <v>#REF!</v>
      </c>
      <c r="IJ138" s="34" t="e">
        <f>AND(#REF!,"AAAAAEf///M=")</f>
        <v>#REF!</v>
      </c>
      <c r="IK138" s="34" t="e">
        <f>AND(#REF!,"AAAAAEf///Q=")</f>
        <v>#REF!</v>
      </c>
      <c r="IL138" s="34" t="e">
        <f>AND(#REF!,"AAAAAEf///U=")</f>
        <v>#REF!</v>
      </c>
      <c r="IM138" s="34" t="e">
        <f>AND(#REF!,"AAAAAEf///Y=")</f>
        <v>#REF!</v>
      </c>
      <c r="IN138" s="34" t="e">
        <f>IF(#REF!,"AAAAAEf///c=",0)</f>
        <v>#REF!</v>
      </c>
      <c r="IO138" s="34" t="e">
        <f>AND(#REF!,"AAAAAEf///g=")</f>
        <v>#REF!</v>
      </c>
      <c r="IP138" s="34" t="e">
        <f>AND(#REF!,"AAAAAEf///k=")</f>
        <v>#REF!</v>
      </c>
      <c r="IQ138" s="34" t="e">
        <f>AND(#REF!,"AAAAAEf///o=")</f>
        <v>#REF!</v>
      </c>
      <c r="IR138" s="34" t="e">
        <f>AND(#REF!,"AAAAAEf///s=")</f>
        <v>#REF!</v>
      </c>
      <c r="IS138" s="34" t="e">
        <f>AND(#REF!,"AAAAAEf///w=")</f>
        <v>#REF!</v>
      </c>
      <c r="IT138" s="34" t="e">
        <f>AND(#REF!,"AAAAAEf///0=")</f>
        <v>#REF!</v>
      </c>
      <c r="IU138" s="34" t="e">
        <f>AND(#REF!,"AAAAAEf///4=")</f>
        <v>#REF!</v>
      </c>
      <c r="IV138" s="34" t="e">
        <f>IF(#REF!,"AAAAAEf///8=",0)</f>
        <v>#REF!</v>
      </c>
    </row>
    <row r="139" spans="1:256" ht="12.75" customHeight="1" x14ac:dyDescent="0.2">
      <c r="A139" s="34" t="e">
        <f>AND(#REF!,"AAAAAFfd/gA=")</f>
        <v>#REF!</v>
      </c>
      <c r="B139" s="34" t="e">
        <f>AND(#REF!,"AAAAAFfd/gE=")</f>
        <v>#REF!</v>
      </c>
      <c r="C139" s="34" t="e">
        <f>AND(#REF!,"AAAAAFfd/gI=")</f>
        <v>#REF!</v>
      </c>
      <c r="D139" s="34" t="e">
        <f>AND(#REF!,"AAAAAFfd/gM=")</f>
        <v>#REF!</v>
      </c>
      <c r="E139" s="34" t="e">
        <f>AND(#REF!,"AAAAAFfd/gQ=")</f>
        <v>#REF!</v>
      </c>
      <c r="F139" s="34" t="e">
        <f>AND(#REF!,"AAAAAFfd/gU=")</f>
        <v>#REF!</v>
      </c>
      <c r="G139" s="34" t="e">
        <f>AND(#REF!,"AAAAAFfd/gY=")</f>
        <v>#REF!</v>
      </c>
      <c r="H139" s="34" t="e">
        <f>IF(#REF!,"AAAAAFfd/gc=",0)</f>
        <v>#REF!</v>
      </c>
      <c r="I139" s="34" t="e">
        <f>AND(#REF!,"AAAAAFfd/gg=")</f>
        <v>#REF!</v>
      </c>
      <c r="J139" s="34" t="e">
        <f>AND(#REF!,"AAAAAFfd/gk=")</f>
        <v>#REF!</v>
      </c>
      <c r="K139" s="34" t="e">
        <f>AND(#REF!,"AAAAAFfd/go=")</f>
        <v>#REF!</v>
      </c>
      <c r="L139" s="34" t="e">
        <f>AND(#REF!,"AAAAAFfd/gs=")</f>
        <v>#REF!</v>
      </c>
      <c r="M139" s="34" t="e">
        <f>AND(#REF!,"AAAAAFfd/gw=")</f>
        <v>#REF!</v>
      </c>
      <c r="N139" s="34" t="e">
        <f>AND(#REF!,"AAAAAFfd/g0=")</f>
        <v>#REF!</v>
      </c>
      <c r="O139" s="34" t="e">
        <f>AND(#REF!,"AAAAAFfd/g4=")</f>
        <v>#REF!</v>
      </c>
      <c r="P139" s="34" t="e">
        <f>IF(#REF!,"AAAAAFfd/g8=",0)</f>
        <v>#REF!</v>
      </c>
      <c r="Q139" s="34" t="e">
        <f>AND(#REF!,"AAAAAFfd/hA=")</f>
        <v>#REF!</v>
      </c>
      <c r="R139" s="34" t="e">
        <f>AND(#REF!,"AAAAAFfd/hE=")</f>
        <v>#REF!</v>
      </c>
      <c r="S139" s="34" t="e">
        <f>AND(#REF!,"AAAAAFfd/hI=")</f>
        <v>#REF!</v>
      </c>
      <c r="T139" s="34" t="e">
        <f>AND(#REF!,"AAAAAFfd/hM=")</f>
        <v>#REF!</v>
      </c>
      <c r="U139" s="34" t="e">
        <f>AND(#REF!,"AAAAAFfd/hQ=")</f>
        <v>#REF!</v>
      </c>
      <c r="V139" s="34" t="e">
        <f>AND(#REF!,"AAAAAFfd/hU=")</f>
        <v>#REF!</v>
      </c>
      <c r="W139" s="34" t="e">
        <f>AND(#REF!,"AAAAAFfd/hY=")</f>
        <v>#REF!</v>
      </c>
      <c r="X139" s="34" t="e">
        <f>IF(#REF!,"AAAAAFfd/hc=",0)</f>
        <v>#REF!</v>
      </c>
      <c r="Y139" s="34" t="e">
        <f>AND(#REF!,"AAAAAFfd/hg=")</f>
        <v>#REF!</v>
      </c>
      <c r="Z139" s="34" t="e">
        <f>AND(#REF!,"AAAAAFfd/hk=")</f>
        <v>#REF!</v>
      </c>
      <c r="AA139" s="34" t="e">
        <f>AND(#REF!,"AAAAAFfd/ho=")</f>
        <v>#REF!</v>
      </c>
      <c r="AB139" s="34" t="e">
        <f>AND(#REF!,"AAAAAFfd/hs=")</f>
        <v>#REF!</v>
      </c>
      <c r="AC139" s="34" t="e">
        <f>AND(#REF!,"AAAAAFfd/hw=")</f>
        <v>#REF!</v>
      </c>
      <c r="AD139" s="34" t="e">
        <f>AND(#REF!,"AAAAAFfd/h0=")</f>
        <v>#REF!</v>
      </c>
      <c r="AE139" s="34" t="e">
        <f>AND(#REF!,"AAAAAFfd/h4=")</f>
        <v>#REF!</v>
      </c>
      <c r="AF139" s="34" t="e">
        <f>IF(#REF!,"AAAAAFfd/h8=",0)</f>
        <v>#REF!</v>
      </c>
      <c r="AG139" s="34" t="e">
        <f>AND(#REF!,"AAAAAFfd/iA=")</f>
        <v>#REF!</v>
      </c>
      <c r="AH139" s="34" t="e">
        <f>AND(#REF!,"AAAAAFfd/iE=")</f>
        <v>#REF!</v>
      </c>
      <c r="AI139" s="34" t="e">
        <f>AND(#REF!,"AAAAAFfd/iI=")</f>
        <v>#REF!</v>
      </c>
      <c r="AJ139" s="34" t="e">
        <f>AND(#REF!,"AAAAAFfd/iM=")</f>
        <v>#REF!</v>
      </c>
      <c r="AK139" s="34" t="e">
        <f>AND(#REF!,"AAAAAFfd/iQ=")</f>
        <v>#REF!</v>
      </c>
      <c r="AL139" s="34" t="e">
        <f>AND(#REF!,"AAAAAFfd/iU=")</f>
        <v>#REF!</v>
      </c>
      <c r="AM139" s="34" t="e">
        <f>AND(#REF!,"AAAAAFfd/iY=")</f>
        <v>#REF!</v>
      </c>
      <c r="AN139" s="34" t="e">
        <f>IF(#REF!,"AAAAAFfd/ic=",0)</f>
        <v>#REF!</v>
      </c>
      <c r="AO139" s="34" t="e">
        <f>AND(#REF!,"AAAAAFfd/ig=")</f>
        <v>#REF!</v>
      </c>
      <c r="AP139" s="34" t="e">
        <f>AND(#REF!,"AAAAAFfd/ik=")</f>
        <v>#REF!</v>
      </c>
      <c r="AQ139" s="34" t="e">
        <f>AND(#REF!,"AAAAAFfd/io=")</f>
        <v>#REF!</v>
      </c>
      <c r="AR139" s="34" t="e">
        <f>AND(#REF!,"AAAAAFfd/is=")</f>
        <v>#REF!</v>
      </c>
      <c r="AS139" s="34" t="e">
        <f>AND(#REF!,"AAAAAFfd/iw=")</f>
        <v>#REF!</v>
      </c>
      <c r="AT139" s="34" t="e">
        <f>AND(#REF!,"AAAAAFfd/i0=")</f>
        <v>#REF!</v>
      </c>
      <c r="AU139" s="34" t="e">
        <f>AND(#REF!,"AAAAAFfd/i4=")</f>
        <v>#REF!</v>
      </c>
      <c r="AV139" s="34" t="e">
        <f>IF(#REF!,"AAAAAFfd/i8=",0)</f>
        <v>#REF!</v>
      </c>
      <c r="AW139" s="34" t="e">
        <f>AND(#REF!,"AAAAAFfd/jA=")</f>
        <v>#REF!</v>
      </c>
      <c r="AX139" s="34" t="e">
        <f>AND(#REF!,"AAAAAFfd/jE=")</f>
        <v>#REF!</v>
      </c>
      <c r="AY139" s="34" t="e">
        <f>AND(#REF!,"AAAAAFfd/jI=")</f>
        <v>#REF!</v>
      </c>
      <c r="AZ139" s="34" t="e">
        <f>AND(#REF!,"AAAAAFfd/jM=")</f>
        <v>#REF!</v>
      </c>
      <c r="BA139" s="34" t="e">
        <f>AND(#REF!,"AAAAAFfd/jQ=")</f>
        <v>#REF!</v>
      </c>
      <c r="BB139" s="34" t="e">
        <f>AND(#REF!,"AAAAAFfd/jU=")</f>
        <v>#REF!</v>
      </c>
      <c r="BC139" s="34" t="e">
        <f>AND(#REF!,"AAAAAFfd/jY=")</f>
        <v>#REF!</v>
      </c>
      <c r="BD139" s="34" t="e">
        <f>IF(#REF!,"AAAAAFfd/jc=",0)</f>
        <v>#REF!</v>
      </c>
      <c r="BE139" s="34" t="e">
        <f>AND(#REF!,"AAAAAFfd/jg=")</f>
        <v>#REF!</v>
      </c>
      <c r="BF139" s="34" t="e">
        <f>AND(#REF!,"AAAAAFfd/jk=")</f>
        <v>#REF!</v>
      </c>
      <c r="BG139" s="34" t="e">
        <f>AND(#REF!,"AAAAAFfd/jo=")</f>
        <v>#REF!</v>
      </c>
      <c r="BH139" s="34" t="e">
        <f>AND(#REF!,"AAAAAFfd/js=")</f>
        <v>#REF!</v>
      </c>
      <c r="BI139" s="34" t="e">
        <f>AND(#REF!,"AAAAAFfd/jw=")</f>
        <v>#REF!</v>
      </c>
      <c r="BJ139" s="34" t="e">
        <f>AND(#REF!,"AAAAAFfd/j0=")</f>
        <v>#REF!</v>
      </c>
      <c r="BK139" s="34" t="e">
        <f>AND(#REF!,"AAAAAFfd/j4=")</f>
        <v>#REF!</v>
      </c>
      <c r="BL139" s="34" t="e">
        <f>IF(#REF!,"AAAAAFfd/j8=",0)</f>
        <v>#REF!</v>
      </c>
      <c r="BM139" s="34" t="e">
        <f>AND(#REF!,"AAAAAFfd/kA=")</f>
        <v>#REF!</v>
      </c>
      <c r="BN139" s="34" t="e">
        <f>AND(#REF!,"AAAAAFfd/kE=")</f>
        <v>#REF!</v>
      </c>
      <c r="BO139" s="34" t="e">
        <f>AND(#REF!,"AAAAAFfd/kI=")</f>
        <v>#REF!</v>
      </c>
      <c r="BP139" s="34" t="e">
        <f>AND(#REF!,"AAAAAFfd/kM=")</f>
        <v>#REF!</v>
      </c>
      <c r="BQ139" s="34" t="e">
        <f>AND(#REF!,"AAAAAFfd/kQ=")</f>
        <v>#REF!</v>
      </c>
      <c r="BR139" s="34" t="e">
        <f>AND(#REF!,"AAAAAFfd/kU=")</f>
        <v>#REF!</v>
      </c>
      <c r="BS139" s="34" t="e">
        <f>AND(#REF!,"AAAAAFfd/kY=")</f>
        <v>#REF!</v>
      </c>
      <c r="BT139" s="34" t="e">
        <f>IF(#REF!,"AAAAAFfd/kc=",0)</f>
        <v>#REF!</v>
      </c>
      <c r="BU139" s="34" t="e">
        <f>AND(#REF!,"AAAAAFfd/kg=")</f>
        <v>#REF!</v>
      </c>
      <c r="BV139" s="34" t="e">
        <f>AND(#REF!,"AAAAAFfd/kk=")</f>
        <v>#REF!</v>
      </c>
      <c r="BW139" s="34" t="e">
        <f>AND(#REF!,"AAAAAFfd/ko=")</f>
        <v>#REF!</v>
      </c>
      <c r="BX139" s="34" t="e">
        <f>AND(#REF!,"AAAAAFfd/ks=")</f>
        <v>#REF!</v>
      </c>
      <c r="BY139" s="34" t="e">
        <f>AND(#REF!,"AAAAAFfd/kw=")</f>
        <v>#REF!</v>
      </c>
      <c r="BZ139" s="34" t="e">
        <f>AND(#REF!,"AAAAAFfd/k0=")</f>
        <v>#REF!</v>
      </c>
      <c r="CA139" s="34" t="e">
        <f>AND(#REF!,"AAAAAFfd/k4=")</f>
        <v>#REF!</v>
      </c>
      <c r="CB139" s="34" t="e">
        <f>IF(#REF!,"AAAAAFfd/k8=",0)</f>
        <v>#REF!</v>
      </c>
      <c r="CC139" s="34" t="e">
        <f>AND(#REF!,"AAAAAFfd/lA=")</f>
        <v>#REF!</v>
      </c>
      <c r="CD139" s="34" t="e">
        <f>AND(#REF!,"AAAAAFfd/lE=")</f>
        <v>#REF!</v>
      </c>
      <c r="CE139" s="34" t="e">
        <f>AND(#REF!,"AAAAAFfd/lI=")</f>
        <v>#REF!</v>
      </c>
      <c r="CF139" s="34" t="e">
        <f>AND(#REF!,"AAAAAFfd/lM=")</f>
        <v>#REF!</v>
      </c>
      <c r="CG139" s="34" t="e">
        <f>AND(#REF!,"AAAAAFfd/lQ=")</f>
        <v>#REF!</v>
      </c>
      <c r="CH139" s="34" t="e">
        <f>AND(#REF!,"AAAAAFfd/lU=")</f>
        <v>#REF!</v>
      </c>
      <c r="CI139" s="34" t="e">
        <f>AND(#REF!,"AAAAAFfd/lY=")</f>
        <v>#REF!</v>
      </c>
      <c r="CJ139" s="34" t="e">
        <f>IF(#REF!,"AAAAAFfd/lc=",0)</f>
        <v>#REF!</v>
      </c>
      <c r="CK139" s="34" t="e">
        <f>AND(#REF!,"AAAAAFfd/lg=")</f>
        <v>#REF!</v>
      </c>
      <c r="CL139" s="34" t="e">
        <f>AND(#REF!,"AAAAAFfd/lk=")</f>
        <v>#REF!</v>
      </c>
      <c r="CM139" s="34" t="e">
        <f>AND(#REF!,"AAAAAFfd/lo=")</f>
        <v>#REF!</v>
      </c>
      <c r="CN139" s="34" t="e">
        <f>AND(#REF!,"AAAAAFfd/ls=")</f>
        <v>#REF!</v>
      </c>
      <c r="CO139" s="34" t="e">
        <f>AND(#REF!,"AAAAAFfd/lw=")</f>
        <v>#REF!</v>
      </c>
      <c r="CP139" s="34" t="e">
        <f>AND(#REF!,"AAAAAFfd/l0=")</f>
        <v>#REF!</v>
      </c>
      <c r="CQ139" s="34" t="e">
        <f>AND(#REF!,"AAAAAFfd/l4=")</f>
        <v>#REF!</v>
      </c>
      <c r="CR139" s="34" t="e">
        <f>IF(#REF!,"AAAAAFfd/l8=",0)</f>
        <v>#REF!</v>
      </c>
      <c r="CS139" s="34" t="e">
        <f>AND(#REF!,"AAAAAFfd/mA=")</f>
        <v>#REF!</v>
      </c>
      <c r="CT139" s="34" t="e">
        <f>AND(#REF!,"AAAAAFfd/mE=")</f>
        <v>#REF!</v>
      </c>
      <c r="CU139" s="34" t="e">
        <f>AND(#REF!,"AAAAAFfd/mI=")</f>
        <v>#REF!</v>
      </c>
      <c r="CV139" s="34" t="e">
        <f>AND(#REF!,"AAAAAFfd/mM=")</f>
        <v>#REF!</v>
      </c>
      <c r="CW139" s="34" t="e">
        <f>AND(#REF!,"AAAAAFfd/mQ=")</f>
        <v>#REF!</v>
      </c>
      <c r="CX139" s="34" t="e">
        <f>AND(#REF!,"AAAAAFfd/mU=")</f>
        <v>#REF!</v>
      </c>
      <c r="CY139" s="34" t="e">
        <f>AND(#REF!,"AAAAAFfd/mY=")</f>
        <v>#REF!</v>
      </c>
      <c r="CZ139" s="34" t="e">
        <f>IF(#REF!,"AAAAAFfd/mc=",0)</f>
        <v>#REF!</v>
      </c>
      <c r="DA139" s="34" t="e">
        <f>AND(#REF!,"AAAAAFfd/mg=")</f>
        <v>#REF!</v>
      </c>
      <c r="DB139" s="34" t="e">
        <f>AND(#REF!,"AAAAAFfd/mk=")</f>
        <v>#REF!</v>
      </c>
      <c r="DC139" s="34" t="e">
        <f>AND(#REF!,"AAAAAFfd/mo=")</f>
        <v>#REF!</v>
      </c>
      <c r="DD139" s="34" t="e">
        <f>AND(#REF!,"AAAAAFfd/ms=")</f>
        <v>#REF!</v>
      </c>
      <c r="DE139" s="34" t="e">
        <f>AND(#REF!,"AAAAAFfd/mw=")</f>
        <v>#REF!</v>
      </c>
      <c r="DF139" s="34" t="e">
        <f>AND(#REF!,"AAAAAFfd/m0=")</f>
        <v>#REF!</v>
      </c>
      <c r="DG139" s="34" t="e">
        <f>AND(#REF!,"AAAAAFfd/m4=")</f>
        <v>#REF!</v>
      </c>
      <c r="DH139" s="34" t="e">
        <f>IF(#REF!,"AAAAAFfd/m8=",0)</f>
        <v>#REF!</v>
      </c>
      <c r="DI139" s="34" t="e">
        <f>AND(#REF!,"AAAAAFfd/nA=")</f>
        <v>#REF!</v>
      </c>
      <c r="DJ139" s="34" t="e">
        <f>AND(#REF!,"AAAAAFfd/nE=")</f>
        <v>#REF!</v>
      </c>
      <c r="DK139" s="34" t="e">
        <f>AND(#REF!,"AAAAAFfd/nI=")</f>
        <v>#REF!</v>
      </c>
      <c r="DL139" s="34" t="e">
        <f>AND(#REF!,"AAAAAFfd/nM=")</f>
        <v>#REF!</v>
      </c>
      <c r="DM139" s="34" t="e">
        <f>AND(#REF!,"AAAAAFfd/nQ=")</f>
        <v>#REF!</v>
      </c>
      <c r="DN139" s="34" t="e">
        <f>AND(#REF!,"AAAAAFfd/nU=")</f>
        <v>#REF!</v>
      </c>
      <c r="DO139" s="34" t="e">
        <f>AND(#REF!,"AAAAAFfd/nY=")</f>
        <v>#REF!</v>
      </c>
      <c r="DP139" s="34" t="e">
        <f>IF(#REF!,"AAAAAFfd/nc=",0)</f>
        <v>#REF!</v>
      </c>
      <c r="DQ139" s="34" t="e">
        <f>AND(#REF!,"AAAAAFfd/ng=")</f>
        <v>#REF!</v>
      </c>
      <c r="DR139" s="34" t="e">
        <f>AND(#REF!,"AAAAAFfd/nk=")</f>
        <v>#REF!</v>
      </c>
      <c r="DS139" s="34" t="e">
        <f>AND(#REF!,"AAAAAFfd/no=")</f>
        <v>#REF!</v>
      </c>
      <c r="DT139" s="34" t="e">
        <f>AND(#REF!,"AAAAAFfd/ns=")</f>
        <v>#REF!</v>
      </c>
      <c r="DU139" s="34" t="e">
        <f>AND(#REF!,"AAAAAFfd/nw=")</f>
        <v>#REF!</v>
      </c>
      <c r="DV139" s="34" t="e">
        <f>AND(#REF!,"AAAAAFfd/n0=")</f>
        <v>#REF!</v>
      </c>
      <c r="DW139" s="34" t="e">
        <f>AND(#REF!,"AAAAAFfd/n4=")</f>
        <v>#REF!</v>
      </c>
      <c r="DX139" s="34" t="e">
        <f>IF(#REF!,"AAAAAFfd/n8=",0)</f>
        <v>#REF!</v>
      </c>
      <c r="DY139" s="34" t="e">
        <f>AND(#REF!,"AAAAAFfd/oA=")</f>
        <v>#REF!</v>
      </c>
      <c r="DZ139" s="34" t="e">
        <f>AND(#REF!,"AAAAAFfd/oE=")</f>
        <v>#REF!</v>
      </c>
      <c r="EA139" s="34" t="e">
        <f>AND(#REF!,"AAAAAFfd/oI=")</f>
        <v>#REF!</v>
      </c>
      <c r="EB139" s="34" t="e">
        <f>AND(#REF!,"AAAAAFfd/oM=")</f>
        <v>#REF!</v>
      </c>
      <c r="EC139" s="34" t="e">
        <f>AND(#REF!,"AAAAAFfd/oQ=")</f>
        <v>#REF!</v>
      </c>
      <c r="ED139" s="34" t="e">
        <f>AND(#REF!,"AAAAAFfd/oU=")</f>
        <v>#REF!</v>
      </c>
      <c r="EE139" s="34" t="e">
        <f>AND(#REF!,"AAAAAFfd/oY=")</f>
        <v>#REF!</v>
      </c>
      <c r="EF139" s="34" t="e">
        <f>IF(#REF!,"AAAAAFfd/oc=",0)</f>
        <v>#REF!</v>
      </c>
      <c r="EG139" s="34" t="e">
        <f>AND(#REF!,"AAAAAFfd/og=")</f>
        <v>#REF!</v>
      </c>
      <c r="EH139" s="34" t="e">
        <f>AND(#REF!,"AAAAAFfd/ok=")</f>
        <v>#REF!</v>
      </c>
      <c r="EI139" s="34" t="e">
        <f>AND(#REF!,"AAAAAFfd/oo=")</f>
        <v>#REF!</v>
      </c>
      <c r="EJ139" s="34" t="e">
        <f>AND(#REF!,"AAAAAFfd/os=")</f>
        <v>#REF!</v>
      </c>
      <c r="EK139" s="34" t="e">
        <f>AND(#REF!,"AAAAAFfd/ow=")</f>
        <v>#REF!</v>
      </c>
      <c r="EL139" s="34" t="e">
        <f>AND(#REF!,"AAAAAFfd/o0=")</f>
        <v>#REF!</v>
      </c>
      <c r="EM139" s="34" t="e">
        <f>AND(#REF!,"AAAAAFfd/o4=")</f>
        <v>#REF!</v>
      </c>
      <c r="EN139" s="34" t="e">
        <f>IF(#REF!,"AAAAAFfd/o8=",0)</f>
        <v>#REF!</v>
      </c>
      <c r="EO139" s="34" t="e">
        <f>AND(#REF!,"AAAAAFfd/pA=")</f>
        <v>#REF!</v>
      </c>
      <c r="EP139" s="34" t="e">
        <f>AND(#REF!,"AAAAAFfd/pE=")</f>
        <v>#REF!</v>
      </c>
      <c r="EQ139" s="34" t="e">
        <f>AND(#REF!,"AAAAAFfd/pI=")</f>
        <v>#REF!</v>
      </c>
      <c r="ER139" s="34" t="e">
        <f>AND(#REF!,"AAAAAFfd/pM=")</f>
        <v>#REF!</v>
      </c>
      <c r="ES139" s="34" t="e">
        <f>AND(#REF!,"AAAAAFfd/pQ=")</f>
        <v>#REF!</v>
      </c>
      <c r="ET139" s="34" t="e">
        <f>AND(#REF!,"AAAAAFfd/pU=")</f>
        <v>#REF!</v>
      </c>
      <c r="EU139" s="34" t="e">
        <f>AND(#REF!,"AAAAAFfd/pY=")</f>
        <v>#REF!</v>
      </c>
      <c r="EV139" s="34" t="e">
        <f>IF(#REF!,"AAAAAFfd/pc=",0)</f>
        <v>#REF!</v>
      </c>
      <c r="EW139" s="34" t="e">
        <f>AND(#REF!,"AAAAAFfd/pg=")</f>
        <v>#REF!</v>
      </c>
      <c r="EX139" s="34" t="e">
        <f>AND(#REF!,"AAAAAFfd/pk=")</f>
        <v>#REF!</v>
      </c>
      <c r="EY139" s="34" t="e">
        <f>AND(#REF!,"AAAAAFfd/po=")</f>
        <v>#REF!</v>
      </c>
      <c r="EZ139" s="34" t="e">
        <f>AND(#REF!,"AAAAAFfd/ps=")</f>
        <v>#REF!</v>
      </c>
      <c r="FA139" s="34" t="e">
        <f>AND(#REF!,"AAAAAFfd/pw=")</f>
        <v>#REF!</v>
      </c>
      <c r="FB139" s="34" t="e">
        <f>AND(#REF!,"AAAAAFfd/p0=")</f>
        <v>#REF!</v>
      </c>
      <c r="FC139" s="34" t="e">
        <f>AND(#REF!,"AAAAAFfd/p4=")</f>
        <v>#REF!</v>
      </c>
      <c r="FD139" s="34" t="e">
        <f>IF(#REF!,"AAAAAFfd/p8=",0)</f>
        <v>#REF!</v>
      </c>
      <c r="FE139" s="34" t="e">
        <f>AND(#REF!,"AAAAAFfd/qA=")</f>
        <v>#REF!</v>
      </c>
      <c r="FF139" s="34" t="e">
        <f>AND(#REF!,"AAAAAFfd/qE=")</f>
        <v>#REF!</v>
      </c>
      <c r="FG139" s="34" t="e">
        <f>AND(#REF!,"AAAAAFfd/qI=")</f>
        <v>#REF!</v>
      </c>
      <c r="FH139" s="34" t="e">
        <f>AND(#REF!,"AAAAAFfd/qM=")</f>
        <v>#REF!</v>
      </c>
      <c r="FI139" s="34" t="e">
        <f>AND(#REF!,"AAAAAFfd/qQ=")</f>
        <v>#REF!</v>
      </c>
      <c r="FJ139" s="34" t="e">
        <f>AND(#REF!,"AAAAAFfd/qU=")</f>
        <v>#REF!</v>
      </c>
      <c r="FK139" s="34" t="e">
        <f>AND(#REF!,"AAAAAFfd/qY=")</f>
        <v>#REF!</v>
      </c>
      <c r="FL139" s="34" t="e">
        <f>IF(#REF!,"AAAAAFfd/qc=",0)</f>
        <v>#REF!</v>
      </c>
      <c r="FM139" s="34" t="e">
        <f>AND(#REF!,"AAAAAFfd/qg=")</f>
        <v>#REF!</v>
      </c>
      <c r="FN139" s="34" t="e">
        <f>AND(#REF!,"AAAAAFfd/qk=")</f>
        <v>#REF!</v>
      </c>
      <c r="FO139" s="34" t="e">
        <f>AND(#REF!,"AAAAAFfd/qo=")</f>
        <v>#REF!</v>
      </c>
      <c r="FP139" s="34" t="e">
        <f>AND(#REF!,"AAAAAFfd/qs=")</f>
        <v>#REF!</v>
      </c>
      <c r="FQ139" s="34" t="e">
        <f>AND(#REF!,"AAAAAFfd/qw=")</f>
        <v>#REF!</v>
      </c>
      <c r="FR139" s="34" t="e">
        <f>AND(#REF!,"AAAAAFfd/q0=")</f>
        <v>#REF!</v>
      </c>
      <c r="FS139" s="34" t="e">
        <f>AND(#REF!,"AAAAAFfd/q4=")</f>
        <v>#REF!</v>
      </c>
      <c r="FT139" s="34" t="e">
        <f>IF(#REF!,"AAAAAFfd/q8=",0)</f>
        <v>#REF!</v>
      </c>
      <c r="FU139" s="34" t="e">
        <f>AND(#REF!,"AAAAAFfd/rA=")</f>
        <v>#REF!</v>
      </c>
      <c r="FV139" s="34" t="e">
        <f>AND(#REF!,"AAAAAFfd/rE=")</f>
        <v>#REF!</v>
      </c>
      <c r="FW139" s="34" t="e">
        <f>AND(#REF!,"AAAAAFfd/rI=")</f>
        <v>#REF!</v>
      </c>
      <c r="FX139" s="34" t="e">
        <f>AND(#REF!,"AAAAAFfd/rM=")</f>
        <v>#REF!</v>
      </c>
      <c r="FY139" s="34" t="e">
        <f>AND(#REF!,"AAAAAFfd/rQ=")</f>
        <v>#REF!</v>
      </c>
      <c r="FZ139" s="34" t="e">
        <f>AND(#REF!,"AAAAAFfd/rU=")</f>
        <v>#REF!</v>
      </c>
      <c r="GA139" s="34" t="e">
        <f>AND(#REF!,"AAAAAFfd/rY=")</f>
        <v>#REF!</v>
      </c>
      <c r="GB139" s="34" t="e">
        <f>IF(#REF!,"AAAAAFfd/rc=",0)</f>
        <v>#REF!</v>
      </c>
      <c r="GC139" s="34" t="e">
        <f>AND(#REF!,"AAAAAFfd/rg=")</f>
        <v>#REF!</v>
      </c>
      <c r="GD139" s="34" t="e">
        <f>AND(#REF!,"AAAAAFfd/rk=")</f>
        <v>#REF!</v>
      </c>
      <c r="GE139" s="34" t="e">
        <f>AND(#REF!,"AAAAAFfd/ro=")</f>
        <v>#REF!</v>
      </c>
      <c r="GF139" s="34" t="e">
        <f>AND(#REF!,"AAAAAFfd/rs=")</f>
        <v>#REF!</v>
      </c>
      <c r="GG139" s="34" t="e">
        <f>AND(#REF!,"AAAAAFfd/rw=")</f>
        <v>#REF!</v>
      </c>
      <c r="GH139" s="34" t="e">
        <f>AND(#REF!,"AAAAAFfd/r0=")</f>
        <v>#REF!</v>
      </c>
      <c r="GI139" s="34" t="e">
        <f>AND(#REF!,"AAAAAFfd/r4=")</f>
        <v>#REF!</v>
      </c>
      <c r="GJ139" s="34" t="e">
        <f>IF(#REF!,"AAAAAFfd/r8=",0)</f>
        <v>#REF!</v>
      </c>
      <c r="GK139" s="34" t="e">
        <f>AND(#REF!,"AAAAAFfd/sA=")</f>
        <v>#REF!</v>
      </c>
      <c r="GL139" s="34" t="e">
        <f>AND(#REF!,"AAAAAFfd/sE=")</f>
        <v>#REF!</v>
      </c>
      <c r="GM139" s="34" t="e">
        <f>AND(#REF!,"AAAAAFfd/sI=")</f>
        <v>#REF!</v>
      </c>
      <c r="GN139" s="34" t="e">
        <f>AND(#REF!,"AAAAAFfd/sM=")</f>
        <v>#REF!</v>
      </c>
      <c r="GO139" s="34" t="e">
        <f>AND(#REF!,"AAAAAFfd/sQ=")</f>
        <v>#REF!</v>
      </c>
      <c r="GP139" s="34" t="e">
        <f>AND(#REF!,"AAAAAFfd/sU=")</f>
        <v>#REF!</v>
      </c>
      <c r="GQ139" s="34" t="e">
        <f>AND(#REF!,"AAAAAFfd/sY=")</f>
        <v>#REF!</v>
      </c>
      <c r="GR139" s="34" t="e">
        <f>IF(#REF!,"AAAAAFfd/sc=",0)</f>
        <v>#REF!</v>
      </c>
      <c r="GS139" s="34" t="e">
        <f>AND(#REF!,"AAAAAFfd/sg=")</f>
        <v>#REF!</v>
      </c>
      <c r="GT139" s="34" t="e">
        <f>AND(#REF!,"AAAAAFfd/sk=")</f>
        <v>#REF!</v>
      </c>
      <c r="GU139" s="34" t="e">
        <f>AND(#REF!,"AAAAAFfd/so=")</f>
        <v>#REF!</v>
      </c>
      <c r="GV139" s="34" t="e">
        <f>AND(#REF!,"AAAAAFfd/ss=")</f>
        <v>#REF!</v>
      </c>
      <c r="GW139" s="34" t="e">
        <f>AND(#REF!,"AAAAAFfd/sw=")</f>
        <v>#REF!</v>
      </c>
      <c r="GX139" s="34" t="e">
        <f>AND(#REF!,"AAAAAFfd/s0=")</f>
        <v>#REF!</v>
      </c>
      <c r="GY139" s="34" t="e">
        <f>AND(#REF!,"AAAAAFfd/s4=")</f>
        <v>#REF!</v>
      </c>
      <c r="GZ139" s="34" t="e">
        <f>IF(#REF!,"AAAAAFfd/s8=",0)</f>
        <v>#REF!</v>
      </c>
      <c r="HA139" s="34" t="e">
        <f>AND(#REF!,"AAAAAFfd/tA=")</f>
        <v>#REF!</v>
      </c>
      <c r="HB139" s="34" t="e">
        <f>AND(#REF!,"AAAAAFfd/tE=")</f>
        <v>#REF!</v>
      </c>
      <c r="HC139" s="34" t="e">
        <f>AND(#REF!,"AAAAAFfd/tI=")</f>
        <v>#REF!</v>
      </c>
      <c r="HD139" s="34" t="e">
        <f>AND(#REF!,"AAAAAFfd/tM=")</f>
        <v>#REF!</v>
      </c>
      <c r="HE139" s="34" t="e">
        <f>AND(#REF!,"AAAAAFfd/tQ=")</f>
        <v>#REF!</v>
      </c>
      <c r="HF139" s="34" t="e">
        <f>AND(#REF!,"AAAAAFfd/tU=")</f>
        <v>#REF!</v>
      </c>
      <c r="HG139" s="34" t="e">
        <f>AND(#REF!,"AAAAAFfd/tY=")</f>
        <v>#REF!</v>
      </c>
      <c r="HH139" s="34" t="e">
        <f>IF(#REF!,"AAAAAFfd/tc=",0)</f>
        <v>#REF!</v>
      </c>
      <c r="HI139" s="34" t="e">
        <f>AND(#REF!,"AAAAAFfd/tg=")</f>
        <v>#REF!</v>
      </c>
      <c r="HJ139" s="34" t="e">
        <f>AND(#REF!,"AAAAAFfd/tk=")</f>
        <v>#REF!</v>
      </c>
      <c r="HK139" s="34" t="e">
        <f>AND(#REF!,"AAAAAFfd/to=")</f>
        <v>#REF!</v>
      </c>
      <c r="HL139" s="34" t="e">
        <f>AND(#REF!,"AAAAAFfd/ts=")</f>
        <v>#REF!</v>
      </c>
      <c r="HM139" s="34" t="e">
        <f>AND(#REF!,"AAAAAFfd/tw=")</f>
        <v>#REF!</v>
      </c>
      <c r="HN139" s="34" t="e">
        <f>AND(#REF!,"AAAAAFfd/t0=")</f>
        <v>#REF!</v>
      </c>
      <c r="HO139" s="34" t="e">
        <f>AND(#REF!,"AAAAAFfd/t4=")</f>
        <v>#REF!</v>
      </c>
      <c r="HP139" s="34" t="e">
        <f>IF(#REF!,"AAAAAFfd/t8=",0)</f>
        <v>#REF!</v>
      </c>
      <c r="HQ139" s="34" t="e">
        <f>AND(#REF!,"AAAAAFfd/uA=")</f>
        <v>#REF!</v>
      </c>
      <c r="HR139" s="34" t="e">
        <f>AND(#REF!,"AAAAAFfd/uE=")</f>
        <v>#REF!</v>
      </c>
      <c r="HS139" s="34" t="e">
        <f>AND(#REF!,"AAAAAFfd/uI=")</f>
        <v>#REF!</v>
      </c>
      <c r="HT139" s="34" t="e">
        <f>AND(#REF!,"AAAAAFfd/uM=")</f>
        <v>#REF!</v>
      </c>
      <c r="HU139" s="34" t="e">
        <f>AND(#REF!,"AAAAAFfd/uQ=")</f>
        <v>#REF!</v>
      </c>
      <c r="HV139" s="34" t="e">
        <f>AND(#REF!,"AAAAAFfd/uU=")</f>
        <v>#REF!</v>
      </c>
      <c r="HW139" s="34" t="e">
        <f>AND(#REF!,"AAAAAFfd/uY=")</f>
        <v>#REF!</v>
      </c>
      <c r="HX139" s="34" t="e">
        <f>IF(#REF!,"AAAAAFfd/uc=",0)</f>
        <v>#REF!</v>
      </c>
      <c r="HY139" s="34" t="e">
        <f>AND(#REF!,"AAAAAFfd/ug=")</f>
        <v>#REF!</v>
      </c>
      <c r="HZ139" s="34" t="e">
        <f>AND(#REF!,"AAAAAFfd/uk=")</f>
        <v>#REF!</v>
      </c>
      <c r="IA139" s="34" t="e">
        <f>AND(#REF!,"AAAAAFfd/uo=")</f>
        <v>#REF!</v>
      </c>
      <c r="IB139" s="34" t="e">
        <f>AND(#REF!,"AAAAAFfd/us=")</f>
        <v>#REF!</v>
      </c>
      <c r="IC139" s="34" t="e">
        <f>AND(#REF!,"AAAAAFfd/uw=")</f>
        <v>#REF!</v>
      </c>
      <c r="ID139" s="34" t="e">
        <f>AND(#REF!,"AAAAAFfd/u0=")</f>
        <v>#REF!</v>
      </c>
      <c r="IE139" s="34" t="e">
        <f>AND(#REF!,"AAAAAFfd/u4=")</f>
        <v>#REF!</v>
      </c>
      <c r="IF139" s="34" t="e">
        <f>IF(#REF!,"AAAAAFfd/u8=",0)</f>
        <v>#REF!</v>
      </c>
      <c r="IG139" s="34" t="e">
        <f>AND(#REF!,"AAAAAFfd/vA=")</f>
        <v>#REF!</v>
      </c>
      <c r="IH139" s="34" t="e">
        <f>AND(#REF!,"AAAAAFfd/vE=")</f>
        <v>#REF!</v>
      </c>
      <c r="II139" s="34" t="e">
        <f>AND(#REF!,"AAAAAFfd/vI=")</f>
        <v>#REF!</v>
      </c>
      <c r="IJ139" s="34" t="e">
        <f>AND(#REF!,"AAAAAFfd/vM=")</f>
        <v>#REF!</v>
      </c>
      <c r="IK139" s="34" t="e">
        <f>AND(#REF!,"AAAAAFfd/vQ=")</f>
        <v>#REF!</v>
      </c>
      <c r="IL139" s="34" t="e">
        <f>AND(#REF!,"AAAAAFfd/vU=")</f>
        <v>#REF!</v>
      </c>
      <c r="IM139" s="34" t="e">
        <f>AND(#REF!,"AAAAAFfd/vY=")</f>
        <v>#REF!</v>
      </c>
      <c r="IN139" s="34" t="e">
        <f>IF(#REF!,"AAAAAFfd/vc=",0)</f>
        <v>#REF!</v>
      </c>
      <c r="IO139" s="34" t="e">
        <f>AND(#REF!,"AAAAAFfd/vg=")</f>
        <v>#REF!</v>
      </c>
      <c r="IP139" s="34" t="e">
        <f>AND(#REF!,"AAAAAFfd/vk=")</f>
        <v>#REF!</v>
      </c>
      <c r="IQ139" s="34" t="e">
        <f>AND(#REF!,"AAAAAFfd/vo=")</f>
        <v>#REF!</v>
      </c>
      <c r="IR139" s="34" t="e">
        <f>AND(#REF!,"AAAAAFfd/vs=")</f>
        <v>#REF!</v>
      </c>
      <c r="IS139" s="34" t="e">
        <f>AND(#REF!,"AAAAAFfd/vw=")</f>
        <v>#REF!</v>
      </c>
      <c r="IT139" s="34" t="e">
        <f>AND(#REF!,"AAAAAFfd/v0=")</f>
        <v>#REF!</v>
      </c>
      <c r="IU139" s="34" t="e">
        <f>AND(#REF!,"AAAAAFfd/v4=")</f>
        <v>#REF!</v>
      </c>
      <c r="IV139" s="34" t="e">
        <f>IF(#REF!,"AAAAAFfd/v8=",0)</f>
        <v>#REF!</v>
      </c>
    </row>
    <row r="140" spans="1:256" ht="12.75" customHeight="1" x14ac:dyDescent="0.2">
      <c r="A140" s="34" t="e">
        <f>AND(#REF!,"AAAAABzf5QA=")</f>
        <v>#REF!</v>
      </c>
      <c r="B140" s="34" t="e">
        <f>AND(#REF!,"AAAAABzf5QE=")</f>
        <v>#REF!</v>
      </c>
      <c r="C140" s="34" t="e">
        <f>AND(#REF!,"AAAAABzf5QI=")</f>
        <v>#REF!</v>
      </c>
      <c r="D140" s="34" t="e">
        <f>AND(#REF!,"AAAAABzf5QM=")</f>
        <v>#REF!</v>
      </c>
      <c r="E140" s="34" t="e">
        <f>AND(#REF!,"AAAAABzf5QQ=")</f>
        <v>#REF!</v>
      </c>
      <c r="F140" s="34" t="e">
        <f>AND(#REF!,"AAAAABzf5QU=")</f>
        <v>#REF!</v>
      </c>
      <c r="G140" s="34" t="e">
        <f>AND(#REF!,"AAAAABzf5QY=")</f>
        <v>#REF!</v>
      </c>
      <c r="H140" s="34" t="e">
        <f>IF(#REF!,"AAAAABzf5Qc=",0)</f>
        <v>#REF!</v>
      </c>
      <c r="I140" s="34" t="e">
        <f>AND(#REF!,"AAAAABzf5Qg=")</f>
        <v>#REF!</v>
      </c>
      <c r="J140" s="34" t="e">
        <f>AND(#REF!,"AAAAABzf5Qk=")</f>
        <v>#REF!</v>
      </c>
      <c r="K140" s="34" t="e">
        <f>AND(#REF!,"AAAAABzf5Qo=")</f>
        <v>#REF!</v>
      </c>
      <c r="L140" s="34" t="e">
        <f>AND(#REF!,"AAAAABzf5Qs=")</f>
        <v>#REF!</v>
      </c>
      <c r="M140" s="34" t="e">
        <f>AND(#REF!,"AAAAABzf5Qw=")</f>
        <v>#REF!</v>
      </c>
      <c r="N140" s="34" t="e">
        <f>AND(#REF!,"AAAAABzf5Q0=")</f>
        <v>#REF!</v>
      </c>
      <c r="O140" s="34" t="e">
        <f>AND(#REF!,"AAAAABzf5Q4=")</f>
        <v>#REF!</v>
      </c>
      <c r="P140" s="34" t="e">
        <f>IF(#REF!,"AAAAABzf5Q8=",0)</f>
        <v>#REF!</v>
      </c>
      <c r="Q140" s="34" t="e">
        <f>AND(#REF!,"AAAAABzf5RA=")</f>
        <v>#REF!</v>
      </c>
      <c r="R140" s="34" t="e">
        <f>AND(#REF!,"AAAAABzf5RE=")</f>
        <v>#REF!</v>
      </c>
      <c r="S140" s="34" t="e">
        <f>AND(#REF!,"AAAAABzf5RI=")</f>
        <v>#REF!</v>
      </c>
      <c r="T140" s="34" t="e">
        <f>AND(#REF!,"AAAAABzf5RM=")</f>
        <v>#REF!</v>
      </c>
      <c r="U140" s="34" t="e">
        <f>AND(#REF!,"AAAAABzf5RQ=")</f>
        <v>#REF!</v>
      </c>
      <c r="V140" s="34" t="e">
        <f>AND(#REF!,"AAAAABzf5RU=")</f>
        <v>#REF!</v>
      </c>
      <c r="W140" s="34" t="e">
        <f>AND(#REF!,"AAAAABzf5RY=")</f>
        <v>#REF!</v>
      </c>
      <c r="X140" s="34" t="e">
        <f>IF(#REF!,"AAAAABzf5Rc=",0)</f>
        <v>#REF!</v>
      </c>
      <c r="Y140" s="34" t="e">
        <f>AND(#REF!,"AAAAABzf5Rg=")</f>
        <v>#REF!</v>
      </c>
      <c r="Z140" s="34" t="e">
        <f>AND(#REF!,"AAAAABzf5Rk=")</f>
        <v>#REF!</v>
      </c>
      <c r="AA140" s="34" t="e">
        <f>AND(#REF!,"AAAAABzf5Ro=")</f>
        <v>#REF!</v>
      </c>
      <c r="AB140" s="34" t="e">
        <f>AND(#REF!,"AAAAABzf5Rs=")</f>
        <v>#REF!</v>
      </c>
      <c r="AC140" s="34" t="e">
        <f>AND(#REF!,"AAAAABzf5Rw=")</f>
        <v>#REF!</v>
      </c>
      <c r="AD140" s="34" t="e">
        <f>AND(#REF!,"AAAAABzf5R0=")</f>
        <v>#REF!</v>
      </c>
      <c r="AE140" s="34" t="e">
        <f>AND(#REF!,"AAAAABzf5R4=")</f>
        <v>#REF!</v>
      </c>
      <c r="AF140" s="34" t="e">
        <f>IF(#REF!,"AAAAABzf5R8=",0)</f>
        <v>#REF!</v>
      </c>
      <c r="AG140" s="34" t="e">
        <f>AND(#REF!,"AAAAABzf5SA=")</f>
        <v>#REF!</v>
      </c>
      <c r="AH140" s="34" t="e">
        <f>AND(#REF!,"AAAAABzf5SE=")</f>
        <v>#REF!</v>
      </c>
      <c r="AI140" s="34" t="e">
        <f>AND(#REF!,"AAAAABzf5SI=")</f>
        <v>#REF!</v>
      </c>
      <c r="AJ140" s="34" t="e">
        <f>AND(#REF!,"AAAAABzf5SM=")</f>
        <v>#REF!</v>
      </c>
      <c r="AK140" s="34" t="e">
        <f>AND(#REF!,"AAAAABzf5SQ=")</f>
        <v>#REF!</v>
      </c>
      <c r="AL140" s="34" t="e">
        <f>AND(#REF!,"AAAAABzf5SU=")</f>
        <v>#REF!</v>
      </c>
      <c r="AM140" s="34" t="e">
        <f>AND(#REF!,"AAAAABzf5SY=")</f>
        <v>#REF!</v>
      </c>
      <c r="AN140" s="34" t="e">
        <f>IF(#REF!,"AAAAABzf5Sc=",0)</f>
        <v>#REF!</v>
      </c>
      <c r="AO140" s="34" t="e">
        <f>AND(#REF!,"AAAAABzf5Sg=")</f>
        <v>#REF!</v>
      </c>
      <c r="AP140" s="34" t="e">
        <f>AND(#REF!,"AAAAABzf5Sk=")</f>
        <v>#REF!</v>
      </c>
      <c r="AQ140" s="34" t="e">
        <f>AND(#REF!,"AAAAABzf5So=")</f>
        <v>#REF!</v>
      </c>
      <c r="AR140" s="34" t="e">
        <f>AND(#REF!,"AAAAABzf5Ss=")</f>
        <v>#REF!</v>
      </c>
      <c r="AS140" s="34" t="e">
        <f>AND(#REF!,"AAAAABzf5Sw=")</f>
        <v>#REF!</v>
      </c>
      <c r="AT140" s="34" t="e">
        <f>AND(#REF!,"AAAAABzf5S0=")</f>
        <v>#REF!</v>
      </c>
      <c r="AU140" s="34" t="e">
        <f>AND(#REF!,"AAAAABzf5S4=")</f>
        <v>#REF!</v>
      </c>
      <c r="AV140" s="34" t="e">
        <f>IF(#REF!,"AAAAABzf5S8=",0)</f>
        <v>#REF!</v>
      </c>
      <c r="AW140" s="34" t="e">
        <f>AND(#REF!,"AAAAABzf5TA=")</f>
        <v>#REF!</v>
      </c>
      <c r="AX140" s="34" t="e">
        <f>AND(#REF!,"AAAAABzf5TE=")</f>
        <v>#REF!</v>
      </c>
      <c r="AY140" s="34" t="e">
        <f>AND(#REF!,"AAAAABzf5TI=")</f>
        <v>#REF!</v>
      </c>
      <c r="AZ140" s="34" t="e">
        <f>AND(#REF!,"AAAAABzf5TM=")</f>
        <v>#REF!</v>
      </c>
      <c r="BA140" s="34" t="e">
        <f>AND(#REF!,"AAAAABzf5TQ=")</f>
        <v>#REF!</v>
      </c>
      <c r="BB140" s="34" t="e">
        <f>AND(#REF!,"AAAAABzf5TU=")</f>
        <v>#REF!</v>
      </c>
      <c r="BC140" s="34" t="e">
        <f>AND(#REF!,"AAAAABzf5TY=")</f>
        <v>#REF!</v>
      </c>
      <c r="BD140" s="34" t="e">
        <f>IF(#REF!,"AAAAABzf5Tc=",0)</f>
        <v>#REF!</v>
      </c>
      <c r="BE140" s="34" t="e">
        <f>AND(#REF!,"AAAAABzf5Tg=")</f>
        <v>#REF!</v>
      </c>
      <c r="BF140" s="34" t="e">
        <f>AND(#REF!,"AAAAABzf5Tk=")</f>
        <v>#REF!</v>
      </c>
      <c r="BG140" s="34" t="e">
        <f>AND(#REF!,"AAAAABzf5To=")</f>
        <v>#REF!</v>
      </c>
      <c r="BH140" s="34" t="e">
        <f>AND(#REF!,"AAAAABzf5Ts=")</f>
        <v>#REF!</v>
      </c>
      <c r="BI140" s="34" t="e">
        <f>AND(#REF!,"AAAAABzf5Tw=")</f>
        <v>#REF!</v>
      </c>
      <c r="BJ140" s="34" t="e">
        <f>AND(#REF!,"AAAAABzf5T0=")</f>
        <v>#REF!</v>
      </c>
      <c r="BK140" s="34" t="e">
        <f>AND(#REF!,"AAAAABzf5T4=")</f>
        <v>#REF!</v>
      </c>
      <c r="BL140" s="34" t="e">
        <f>IF(#REF!,"AAAAABzf5T8=",0)</f>
        <v>#REF!</v>
      </c>
      <c r="BM140" s="34" t="e">
        <f>AND(#REF!,"AAAAABzf5UA=")</f>
        <v>#REF!</v>
      </c>
      <c r="BN140" s="34" t="e">
        <f>AND(#REF!,"AAAAABzf5UE=")</f>
        <v>#REF!</v>
      </c>
      <c r="BO140" s="34" t="e">
        <f>AND(#REF!,"AAAAABzf5UI=")</f>
        <v>#REF!</v>
      </c>
      <c r="BP140" s="34" t="e">
        <f>AND(#REF!,"AAAAABzf5UM=")</f>
        <v>#REF!</v>
      </c>
      <c r="BQ140" s="34" t="e">
        <f>AND(#REF!,"AAAAABzf5UQ=")</f>
        <v>#REF!</v>
      </c>
      <c r="BR140" s="34" t="e">
        <f>AND(#REF!,"AAAAABzf5UU=")</f>
        <v>#REF!</v>
      </c>
      <c r="BS140" s="34" t="e">
        <f>AND(#REF!,"AAAAABzf5UY=")</f>
        <v>#REF!</v>
      </c>
      <c r="BT140" s="34" t="e">
        <f>IF(#REF!,"AAAAABzf5Uc=",0)</f>
        <v>#REF!</v>
      </c>
      <c r="BU140" s="34" t="e">
        <f>AND(#REF!,"AAAAABzf5Ug=")</f>
        <v>#REF!</v>
      </c>
      <c r="BV140" s="34" t="e">
        <f>AND(#REF!,"AAAAABzf5Uk=")</f>
        <v>#REF!</v>
      </c>
      <c r="BW140" s="34" t="e">
        <f>AND(#REF!,"AAAAABzf5Uo=")</f>
        <v>#REF!</v>
      </c>
      <c r="BX140" s="34" t="e">
        <f>AND(#REF!,"AAAAABzf5Us=")</f>
        <v>#REF!</v>
      </c>
      <c r="BY140" s="34" t="e">
        <f>AND(#REF!,"AAAAABzf5Uw=")</f>
        <v>#REF!</v>
      </c>
      <c r="BZ140" s="34" t="e">
        <f>AND(#REF!,"AAAAABzf5U0=")</f>
        <v>#REF!</v>
      </c>
      <c r="CA140" s="34" t="e">
        <f>AND(#REF!,"AAAAABzf5U4=")</f>
        <v>#REF!</v>
      </c>
      <c r="CB140" s="34" t="e">
        <f>IF(#REF!,"AAAAABzf5U8=",0)</f>
        <v>#REF!</v>
      </c>
      <c r="CC140" s="34" t="e">
        <f>AND(#REF!,"AAAAABzf5VA=")</f>
        <v>#REF!</v>
      </c>
      <c r="CD140" s="34" t="e">
        <f>AND(#REF!,"AAAAABzf5VE=")</f>
        <v>#REF!</v>
      </c>
      <c r="CE140" s="34" t="e">
        <f>AND(#REF!,"AAAAABzf5VI=")</f>
        <v>#REF!</v>
      </c>
      <c r="CF140" s="34" t="e">
        <f>AND(#REF!,"AAAAABzf5VM=")</f>
        <v>#REF!</v>
      </c>
      <c r="CG140" s="34" t="e">
        <f>AND(#REF!,"AAAAABzf5VQ=")</f>
        <v>#REF!</v>
      </c>
      <c r="CH140" s="34" t="e">
        <f>AND(#REF!,"AAAAABzf5VU=")</f>
        <v>#REF!</v>
      </c>
      <c r="CI140" s="34" t="e">
        <f>AND(#REF!,"AAAAABzf5VY=")</f>
        <v>#REF!</v>
      </c>
      <c r="CJ140" s="34" t="e">
        <f>IF(#REF!,"AAAAABzf5Vc=",0)</f>
        <v>#REF!</v>
      </c>
      <c r="CK140" s="34" t="e">
        <f>AND(#REF!,"AAAAABzf5Vg=")</f>
        <v>#REF!</v>
      </c>
      <c r="CL140" s="34" t="e">
        <f>AND(#REF!,"AAAAABzf5Vk=")</f>
        <v>#REF!</v>
      </c>
      <c r="CM140" s="34" t="e">
        <f>AND(#REF!,"AAAAABzf5Vo=")</f>
        <v>#REF!</v>
      </c>
      <c r="CN140" s="34" t="e">
        <f>AND(#REF!,"AAAAABzf5Vs=")</f>
        <v>#REF!</v>
      </c>
      <c r="CO140" s="34" t="e">
        <f>AND(#REF!,"AAAAABzf5Vw=")</f>
        <v>#REF!</v>
      </c>
      <c r="CP140" s="34" t="e">
        <f>AND(#REF!,"AAAAABzf5V0=")</f>
        <v>#REF!</v>
      </c>
      <c r="CQ140" s="34" t="e">
        <f>AND(#REF!,"AAAAABzf5V4=")</f>
        <v>#REF!</v>
      </c>
      <c r="CR140" s="34" t="e">
        <f>IF(#REF!,"AAAAABzf5V8=",0)</f>
        <v>#REF!</v>
      </c>
      <c r="CS140" s="34" t="e">
        <f>AND(#REF!,"AAAAABzf5WA=")</f>
        <v>#REF!</v>
      </c>
      <c r="CT140" s="34" t="e">
        <f>AND(#REF!,"AAAAABzf5WE=")</f>
        <v>#REF!</v>
      </c>
      <c r="CU140" s="34" t="e">
        <f>AND(#REF!,"AAAAABzf5WI=")</f>
        <v>#REF!</v>
      </c>
      <c r="CV140" s="34" t="e">
        <f>AND(#REF!,"AAAAABzf5WM=")</f>
        <v>#REF!</v>
      </c>
      <c r="CW140" s="34" t="e">
        <f>AND(#REF!,"AAAAABzf5WQ=")</f>
        <v>#REF!</v>
      </c>
      <c r="CX140" s="34" t="e">
        <f>AND(#REF!,"AAAAABzf5WU=")</f>
        <v>#REF!</v>
      </c>
      <c r="CY140" s="34" t="e">
        <f>AND(#REF!,"AAAAABzf5WY=")</f>
        <v>#REF!</v>
      </c>
      <c r="CZ140" s="34" t="e">
        <f>IF(#REF!,"AAAAABzf5Wc=",0)</f>
        <v>#REF!</v>
      </c>
      <c r="DA140" s="34" t="e">
        <f>AND(#REF!,"AAAAABzf5Wg=")</f>
        <v>#REF!</v>
      </c>
      <c r="DB140" s="34" t="e">
        <f>AND(#REF!,"AAAAABzf5Wk=")</f>
        <v>#REF!</v>
      </c>
      <c r="DC140" s="34" t="e">
        <f>AND(#REF!,"AAAAABzf5Wo=")</f>
        <v>#REF!</v>
      </c>
      <c r="DD140" s="34" t="e">
        <f>AND(#REF!,"AAAAABzf5Ws=")</f>
        <v>#REF!</v>
      </c>
      <c r="DE140" s="34" t="e">
        <f>AND(#REF!,"AAAAABzf5Ww=")</f>
        <v>#REF!</v>
      </c>
      <c r="DF140" s="34" t="e">
        <f>AND(#REF!,"AAAAABzf5W0=")</f>
        <v>#REF!</v>
      </c>
      <c r="DG140" s="34" t="e">
        <f>AND(#REF!,"AAAAABzf5W4=")</f>
        <v>#REF!</v>
      </c>
      <c r="DH140" s="34" t="e">
        <f>IF(#REF!,"AAAAABzf5W8=",0)</f>
        <v>#REF!</v>
      </c>
      <c r="DI140" s="34" t="e">
        <f>AND(#REF!,"AAAAABzf5XA=")</f>
        <v>#REF!</v>
      </c>
      <c r="DJ140" s="34" t="e">
        <f>AND(#REF!,"AAAAABzf5XE=")</f>
        <v>#REF!</v>
      </c>
      <c r="DK140" s="34" t="e">
        <f>AND(#REF!,"AAAAABzf5XI=")</f>
        <v>#REF!</v>
      </c>
      <c r="DL140" s="34" t="e">
        <f>AND(#REF!,"AAAAABzf5XM=")</f>
        <v>#REF!</v>
      </c>
      <c r="DM140" s="34" t="e">
        <f>AND(#REF!,"AAAAABzf5XQ=")</f>
        <v>#REF!</v>
      </c>
      <c r="DN140" s="34" t="e">
        <f>AND(#REF!,"AAAAABzf5XU=")</f>
        <v>#REF!</v>
      </c>
      <c r="DO140" s="34" t="e">
        <f>AND(#REF!,"AAAAABzf5XY=")</f>
        <v>#REF!</v>
      </c>
      <c r="DP140" s="34" t="e">
        <f>IF(#REF!,"AAAAABzf5Xc=",0)</f>
        <v>#REF!</v>
      </c>
      <c r="DQ140" s="34" t="e">
        <f>AND(#REF!,"AAAAABzf5Xg=")</f>
        <v>#REF!</v>
      </c>
      <c r="DR140" s="34" t="e">
        <f>AND(#REF!,"AAAAABzf5Xk=")</f>
        <v>#REF!</v>
      </c>
      <c r="DS140" s="34" t="e">
        <f>AND(#REF!,"AAAAABzf5Xo=")</f>
        <v>#REF!</v>
      </c>
      <c r="DT140" s="34" t="e">
        <f>AND(#REF!,"AAAAABzf5Xs=")</f>
        <v>#REF!</v>
      </c>
      <c r="DU140" s="34" t="e">
        <f>AND(#REF!,"AAAAABzf5Xw=")</f>
        <v>#REF!</v>
      </c>
      <c r="DV140" s="34" t="e">
        <f>AND(#REF!,"AAAAABzf5X0=")</f>
        <v>#REF!</v>
      </c>
      <c r="DW140" s="34" t="e">
        <f>AND(#REF!,"AAAAABzf5X4=")</f>
        <v>#REF!</v>
      </c>
      <c r="DX140" s="34" t="e">
        <f>IF(#REF!,"AAAAABzf5X8=",0)</f>
        <v>#REF!</v>
      </c>
      <c r="DY140" s="34" t="e">
        <f>AND(#REF!,"AAAAABzf5YA=")</f>
        <v>#REF!</v>
      </c>
      <c r="DZ140" s="34" t="e">
        <f>AND(#REF!,"AAAAABzf5YE=")</f>
        <v>#REF!</v>
      </c>
      <c r="EA140" s="34" t="e">
        <f>AND(#REF!,"AAAAABzf5YI=")</f>
        <v>#REF!</v>
      </c>
      <c r="EB140" s="34" t="e">
        <f>AND(#REF!,"AAAAABzf5YM=")</f>
        <v>#REF!</v>
      </c>
      <c r="EC140" s="34" t="e">
        <f>AND(#REF!,"AAAAABzf5YQ=")</f>
        <v>#REF!</v>
      </c>
      <c r="ED140" s="34" t="e">
        <f>AND(#REF!,"AAAAABzf5YU=")</f>
        <v>#REF!</v>
      </c>
      <c r="EE140" s="34" t="e">
        <f>AND(#REF!,"AAAAABzf5YY=")</f>
        <v>#REF!</v>
      </c>
      <c r="EF140" s="34" t="e">
        <f>IF(#REF!,"AAAAABzf5Yc=",0)</f>
        <v>#REF!</v>
      </c>
      <c r="EG140" s="34" t="e">
        <f>AND(#REF!,"AAAAABzf5Yg=")</f>
        <v>#REF!</v>
      </c>
      <c r="EH140" s="34" t="e">
        <f>AND(#REF!,"AAAAABzf5Yk=")</f>
        <v>#REF!</v>
      </c>
      <c r="EI140" s="34" t="e">
        <f>AND(#REF!,"AAAAABzf5Yo=")</f>
        <v>#REF!</v>
      </c>
      <c r="EJ140" s="34" t="e">
        <f>AND(#REF!,"AAAAABzf5Ys=")</f>
        <v>#REF!</v>
      </c>
      <c r="EK140" s="34" t="e">
        <f>AND(#REF!,"AAAAABzf5Yw=")</f>
        <v>#REF!</v>
      </c>
      <c r="EL140" s="34" t="e">
        <f>AND(#REF!,"AAAAABzf5Y0=")</f>
        <v>#REF!</v>
      </c>
      <c r="EM140" s="34" t="e">
        <f>AND(#REF!,"AAAAABzf5Y4=")</f>
        <v>#REF!</v>
      </c>
      <c r="EN140" s="34" t="e">
        <f>IF(#REF!,"AAAAABzf5Y8=",0)</f>
        <v>#REF!</v>
      </c>
      <c r="EO140" s="34" t="e">
        <f>AND(#REF!,"AAAAABzf5ZA=")</f>
        <v>#REF!</v>
      </c>
      <c r="EP140" s="34" t="e">
        <f>AND(#REF!,"AAAAABzf5ZE=")</f>
        <v>#REF!</v>
      </c>
      <c r="EQ140" s="34" t="e">
        <f>AND(#REF!,"AAAAABzf5ZI=")</f>
        <v>#REF!</v>
      </c>
      <c r="ER140" s="34" t="e">
        <f>AND(#REF!,"AAAAABzf5ZM=")</f>
        <v>#REF!</v>
      </c>
      <c r="ES140" s="34" t="e">
        <f>AND(#REF!,"AAAAABzf5ZQ=")</f>
        <v>#REF!</v>
      </c>
      <c r="ET140" s="34" t="e">
        <f>AND(#REF!,"AAAAABzf5ZU=")</f>
        <v>#REF!</v>
      </c>
      <c r="EU140" s="34" t="e">
        <f>AND(#REF!,"AAAAABzf5ZY=")</f>
        <v>#REF!</v>
      </c>
      <c r="EV140" s="34" t="e">
        <f>IF(#REF!,"AAAAABzf5Zc=",0)</f>
        <v>#REF!</v>
      </c>
      <c r="EW140" s="34" t="e">
        <f>AND(#REF!,"AAAAABzf5Zg=")</f>
        <v>#REF!</v>
      </c>
      <c r="EX140" s="34" t="e">
        <f>AND(#REF!,"AAAAABzf5Zk=")</f>
        <v>#REF!</v>
      </c>
      <c r="EY140" s="34" t="e">
        <f>AND(#REF!,"AAAAABzf5Zo=")</f>
        <v>#REF!</v>
      </c>
      <c r="EZ140" s="34" t="e">
        <f>AND(#REF!,"AAAAABzf5Zs=")</f>
        <v>#REF!</v>
      </c>
      <c r="FA140" s="34" t="e">
        <f>AND(#REF!,"AAAAABzf5Zw=")</f>
        <v>#REF!</v>
      </c>
      <c r="FB140" s="34" t="e">
        <f>AND(#REF!,"AAAAABzf5Z0=")</f>
        <v>#REF!</v>
      </c>
      <c r="FC140" s="34" t="e">
        <f>AND(#REF!,"AAAAABzf5Z4=")</f>
        <v>#REF!</v>
      </c>
      <c r="FD140" s="34" t="e">
        <f>IF(#REF!,"AAAAABzf5Z8=",0)</f>
        <v>#REF!</v>
      </c>
      <c r="FE140" s="34" t="e">
        <f>AND(#REF!,"AAAAABzf5aA=")</f>
        <v>#REF!</v>
      </c>
      <c r="FF140" s="34" t="e">
        <f>AND(#REF!,"AAAAABzf5aE=")</f>
        <v>#REF!</v>
      </c>
      <c r="FG140" s="34" t="e">
        <f>AND(#REF!,"AAAAABzf5aI=")</f>
        <v>#REF!</v>
      </c>
      <c r="FH140" s="34" t="e">
        <f>AND(#REF!,"AAAAABzf5aM=")</f>
        <v>#REF!</v>
      </c>
      <c r="FI140" s="34" t="e">
        <f>AND(#REF!,"AAAAABzf5aQ=")</f>
        <v>#REF!</v>
      </c>
      <c r="FJ140" s="34" t="e">
        <f>AND(#REF!,"AAAAABzf5aU=")</f>
        <v>#REF!</v>
      </c>
      <c r="FK140" s="34" t="e">
        <f>AND(#REF!,"AAAAABzf5aY=")</f>
        <v>#REF!</v>
      </c>
      <c r="FL140" s="34" t="e">
        <f>IF(#REF!,"AAAAABzf5ac=",0)</f>
        <v>#REF!</v>
      </c>
      <c r="FM140" s="34" t="e">
        <f>IF(#REF!,"AAAAABzf5ag=",0)</f>
        <v>#REF!</v>
      </c>
      <c r="FN140" s="34" t="e">
        <f>IF(#REF!,"AAAAABzf5ak=",0)</f>
        <v>#REF!</v>
      </c>
      <c r="FO140" s="34" t="e">
        <f>IF(#REF!,"AAAAABzf5ao=",0)</f>
        <v>#REF!</v>
      </c>
      <c r="FP140" s="34" t="e">
        <f>IF(#REF!,"AAAAABzf5as=",0)</f>
        <v>#REF!</v>
      </c>
      <c r="FQ140" s="34" t="e">
        <f>IF(#REF!,"AAAAABzf5aw=",0)</f>
        <v>#REF!</v>
      </c>
      <c r="FR140" s="34" t="e">
        <f>IF(#REF!,"AAAAABzf5a0=",0)</f>
        <v>#REF!</v>
      </c>
      <c r="FS140" s="34" t="e">
        <f>IF(#REF!,"AAAAABzf5a4=",0)</f>
        <v>#REF!</v>
      </c>
      <c r="FT140" s="34" t="e">
        <f>AND(#REF!,"AAAAABzf5a8=")</f>
        <v>#REF!</v>
      </c>
      <c r="FU140" s="34" t="e">
        <f>AND(#REF!,"AAAAABzf5bA=")</f>
        <v>#REF!</v>
      </c>
      <c r="FV140" s="34" t="e">
        <f>AND(#REF!,"AAAAABzf5bE=")</f>
        <v>#REF!</v>
      </c>
      <c r="FW140" s="34" t="e">
        <f>IF(#REF!,"AAAAABzf5bI=",0)</f>
        <v>#REF!</v>
      </c>
      <c r="FX140" s="34" t="e">
        <f>AND(#REF!,"AAAAABzf5bM=")</f>
        <v>#REF!</v>
      </c>
      <c r="FY140" s="34" t="e">
        <f>AND(#REF!,"AAAAABzf5bQ=")</f>
        <v>#REF!</v>
      </c>
      <c r="FZ140" s="34" t="e">
        <f>AND(#REF!,"AAAAABzf5bU=")</f>
        <v>#REF!</v>
      </c>
      <c r="GA140" s="34" t="e">
        <f>IF(#REF!,"AAAAABzf5bY=",0)</f>
        <v>#REF!</v>
      </c>
      <c r="GB140" s="34" t="e">
        <f>AND(#REF!,"AAAAABzf5bc=")</f>
        <v>#REF!</v>
      </c>
      <c r="GC140" s="34" t="e">
        <f>AND(#REF!,"AAAAABzf5bg=")</f>
        <v>#REF!</v>
      </c>
      <c r="GD140" s="34" t="e">
        <f>AND(#REF!,"AAAAABzf5bk=")</f>
        <v>#REF!</v>
      </c>
      <c r="GE140" s="34" t="e">
        <f>IF(#REF!,"AAAAABzf5bo=",0)</f>
        <v>#REF!</v>
      </c>
      <c r="GF140" s="34" t="e">
        <f>AND(#REF!,"AAAAABzf5bs=")</f>
        <v>#REF!</v>
      </c>
      <c r="GG140" s="34" t="e">
        <f>AND(#REF!,"AAAAABzf5bw=")</f>
        <v>#REF!</v>
      </c>
      <c r="GH140" s="34" t="e">
        <f>AND(#REF!,"AAAAABzf5b0=")</f>
        <v>#REF!</v>
      </c>
      <c r="GI140" s="34" t="e">
        <f>IF(#REF!,"AAAAABzf5b4=",0)</f>
        <v>#REF!</v>
      </c>
      <c r="GJ140" s="34" t="e">
        <f>AND(#REF!,"AAAAABzf5b8=")</f>
        <v>#REF!</v>
      </c>
      <c r="GK140" s="34" t="e">
        <f>AND(#REF!,"AAAAABzf5cA=")</f>
        <v>#REF!</v>
      </c>
      <c r="GL140" s="34" t="e">
        <f>AND(#REF!,"AAAAABzf5cE=")</f>
        <v>#REF!</v>
      </c>
      <c r="GM140" s="34" t="e">
        <f>IF(#REF!,"AAAAABzf5cI=",0)</f>
        <v>#REF!</v>
      </c>
      <c r="GN140" s="34" t="e">
        <f>AND(#REF!,"AAAAABzf5cM=")</f>
        <v>#REF!</v>
      </c>
      <c r="GO140" s="34" t="e">
        <f>AND(#REF!,"AAAAABzf5cQ=")</f>
        <v>#REF!</v>
      </c>
      <c r="GP140" s="34" t="e">
        <f>AND(#REF!,"AAAAABzf5cU=")</f>
        <v>#REF!</v>
      </c>
      <c r="GQ140" s="34" t="e">
        <f>IF(#REF!,"AAAAABzf5cY=",0)</f>
        <v>#REF!</v>
      </c>
      <c r="GR140" s="34" t="e">
        <f>IF(#REF!,"AAAAABzf5cc=",0)</f>
        <v>#REF!</v>
      </c>
      <c r="GS140" s="34" t="e">
        <f>IF(#REF!,"AAAAABzf5cg=",0)</f>
        <v>#REF!</v>
      </c>
      <c r="GT140" s="35" t="s">
        <v>65</v>
      </c>
      <c r="GU140" s="34" t="s">
        <v>66</v>
      </c>
      <c r="GV140" s="36" t="s">
        <v>67</v>
      </c>
      <c r="GW140" s="2" t="s">
        <v>68</v>
      </c>
      <c r="GX140" s="2" t="s">
        <v>69</v>
      </c>
      <c r="GY140" s="37" t="s">
        <v>70</v>
      </c>
      <c r="GZ140" s="34" t="e">
        <f>IF("N",[0]!Duration,"AAAAABzf5c8=")</f>
        <v>#VALUE!</v>
      </c>
      <c r="HA140" s="34" t="e">
        <f>IF("N",Duration,"AAAAABzf5dA=")</f>
        <v>#VALUE!</v>
      </c>
      <c r="HB140" s="34" t="e">
        <f>IF("N",infl,"AAAAABzf5dE=")</f>
        <v>#VALUE!</v>
      </c>
      <c r="HC140" s="34" t="e">
        <f>IF("N",over,"AAAAABzf5dI=")</f>
        <v>#VALUE!</v>
      </c>
      <c r="HD140" s="34" t="e">
        <f>IF("N",[0]!Print_Area,"AAAAABzf5dM=")</f>
        <v>#VALUE!</v>
      </c>
      <c r="HE140" s="34" t="e">
        <f>IF("N",[0]!Print_Area,"AAAAABzf5dQ=")</f>
        <v>#VALUE!</v>
      </c>
      <c r="HF140" s="34" t="e">
        <f>IF("N",[0]!Print_Area,"AAAAABzf5dU=")</f>
        <v>#VALUE!</v>
      </c>
      <c r="HG140" s="34" t="e">
        <f>IF("N",[0]!Print_Area,"AAAAABzf5dY=")</f>
        <v>#VALUE!</v>
      </c>
      <c r="HH140" s="34" t="e">
        <f>IF("N",[0]!Print_Area,"AAAAABzf5dc=")</f>
        <v>#VALUE!</v>
      </c>
      <c r="HI140" s="34" t="e">
        <f>IF("N",[0]!Print_Area,"AAAAABzf5dg=")</f>
        <v>#VALUE!</v>
      </c>
      <c r="HJ140" s="34" t="e">
        <f>IF("N",[0]!Print_Area,"AAAAABzf5dk=")</f>
        <v>#VALUE!</v>
      </c>
      <c r="HK140" s="34" t="e">
        <f>IF("N",[0]!Print_Titles,"AAAAABzf5do=")</f>
        <v>#VALUE!</v>
      </c>
      <c r="HL140" s="34" t="e">
        <f>IF("N",[0]!Print_Titles,"AAAAABzf5ds=")</f>
        <v>#VALUE!</v>
      </c>
      <c r="HM140" s="34" t="e">
        <f>IF("N",[0]!RFA,"AAAAABzf5dw=")</f>
        <v>#VALUE!</v>
      </c>
      <c r="HN140" s="34" t="e">
        <f>IF("N",[0]!RFA,"AAAAABzf5d0=")</f>
        <v>#VALUE!</v>
      </c>
      <c r="HO140" s="34" t="e">
        <f>IF("N",[0]!RFA,"AAAAABzf5d4=")</f>
        <v>#VALUE!</v>
      </c>
      <c r="HP140" s="34" t="e">
        <f>IF("N",[0]!RFA,"AAAAABzf5d8=")</f>
        <v>#VALUE!</v>
      </c>
      <c r="HQ140" s="34" t="e">
        <f>IF("N",[0]!RFA,"AAAAABzf5eA=")</f>
        <v>#VALUE!</v>
      </c>
      <c r="HR140" s="34" t="e">
        <f>IF("N",RFA,"AAAAABzf5eE=")</f>
        <v>#VALUE!</v>
      </c>
      <c r="HS140" s="34" t="e">
        <f>IF("N",Salaryinf,"AAAAABzf5eI=")</f>
        <v>#VALUE!</v>
      </c>
      <c r="HT140" s="34" t="e">
        <f>IF("N",salinf,"AAAAABzf5eM=")</f>
        <v>#VALUE!</v>
      </c>
      <c r="HU140" s="34" t="e">
        <f>IF("N",[0]!tcnfringe,"AAAAABzf5eQ=")</f>
        <v>#VALUE!</v>
      </c>
      <c r="HV140" s="34" t="e">
        <f>IF("N",[0]!tcnfringe,"AAAAABzf5eU=")</f>
        <v>#VALUE!</v>
      </c>
      <c r="HW140" s="34" t="e">
        <f>IF("N",[0]!tcnfringe,"AAAAABzf5eY=")</f>
        <v>#VALUE!</v>
      </c>
      <c r="HX140" s="34" t="e">
        <f>IF("N",[0]!tcnfringe,"AAAAABzf5ec=")</f>
        <v>#VALUE!</v>
      </c>
      <c r="HY140" s="34" t="e">
        <f>IF("N",tcnfringe,"AAAAABzf5eg=")</f>
        <v>#VALUE!</v>
      </c>
      <c r="HZ140" s="34" t="e">
        <f>IF("N",Template_Rang,"AAAAABzf5ek=")</f>
        <v>#VALUE!</v>
      </c>
      <c r="IA140" s="34" t="e">
        <f>IF("N",[0]!Title,"AAAAABzf5eo=")</f>
        <v>#VALUE!</v>
      </c>
      <c r="IB140" s="34" t="e">
        <f>IF("N",Title,"AAAAABzf5es=")</f>
        <v>#VALUE!</v>
      </c>
      <c r="IC140" s="34" t="e">
        <f>IF("N",[0]!usaid,"AAAAABzf5ew=")</f>
        <v>#VALUE!</v>
      </c>
      <c r="ID140" s="34" t="e">
        <f>IF("N",[0]!usaid,"AAAAABzf5e0=")</f>
        <v>#VALUE!</v>
      </c>
      <c r="IE140" s="34" t="e">
        <f>IF("N",[0]!usaid,"AAAAABzf5e4=")</f>
        <v>#VALUE!</v>
      </c>
      <c r="IF140" s="34" t="e">
        <f>IF("N",[0]!usaid,"AAAAABzf5e8=")</f>
        <v>#VALUE!</v>
      </c>
      <c r="IG140" s="34" t="e">
        <f>IF("N",[0]!usaid,"AAAAABzf5fA=")</f>
        <v>#VALUE!</v>
      </c>
      <c r="IH140" s="34" t="e">
        <f>IF("N",usaid,"AAAAABzf5fE=")</f>
        <v>#VALUE!</v>
      </c>
      <c r="II140" s="34" t="e">
        <f>IF("N",usfringe,"AAAAABzf5fI=")</f>
        <v>#VALUE!</v>
      </c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GOProgramDocument" ma:contentTypeID="0x0101002A2DB23D81B146548380C2D46D07660900A29866FAECBA464CB26920FF672AFBC0009483668325251045A87B249D648350C5" ma:contentTypeVersion="14" ma:contentTypeDescription="NGO Program Document content type" ma:contentTypeScope="" ma:versionID="0e9f9625a3563437a1afa55be34fda23">
  <xsd:schema xmlns:xsd="http://www.w3.org/2001/XMLSchema" xmlns:xs="http://www.w3.org/2001/XMLSchema" xmlns:p="http://schemas.microsoft.com/office/2006/metadata/properties" xmlns:ns2="b54f8815-9287-4f59-90de-11822123a7c4" xmlns:ns3="f2ef442b-8d66-49e6-a1f7-bfea3c003785" xmlns:ns4="44ac9623-3450-499a-8f14-2031181fa47a" targetNamespace="http://schemas.microsoft.com/office/2006/metadata/properties" ma:root="true" ma:fieldsID="36b83aac4c55ee8a4ef9e5cc52b79f6d" ns2:_="" ns3:_="" ns4:_="">
    <xsd:import namespace="b54f8815-9287-4f59-90de-11822123a7c4"/>
    <xsd:import namespace="f2ef442b-8d66-49e6-a1f7-bfea3c003785"/>
    <xsd:import namespace="44ac9623-3450-499a-8f14-2031181fa47a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f8815-9287-4f59-90de-11822123a7c4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list="UserInfo" ma:SharePointGroup="0" ma:internalName="FavoriteUs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Note">
          <xsd:maxLength value="255"/>
        </xsd:restriction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93cbadb6-fd56-4ffc-a124-e81929b1da87" ma:termSetId="d879ecdf-0ec9-4f5d-b7d9-5bdefa2cab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3fbafd-89c0-434f-94f9-381b2cd1ccd9}" ma:internalName="TaxCatchAll" ma:showField="CatchAllData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3fbafd-89c0-434f-94f9-381b2cd1ccd9}" ma:internalName="TaxCatchAllLabel" ma:readOnly="true" ma:showField="CatchAllDataLabel" ma:web="b54f8815-9287-4f59-90de-11822123a7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93cbadb6-fd56-4ffc-a124-e81929b1da87" ma:termSetId="2415f116-603c-44e1-b9db-de3dafc1a7d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f442b-8d66-49e6-a1f7-bfea3c003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cbadb6-fd56-4ffc-a124-e81929b1da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ac9623-3450-499a-8f14-2031181fa47a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avoriteUsers xmlns="b54f8815-9287-4f59-90de-11822123a7c4">
      <UserInfo>
        <DisplayName/>
        <AccountId xsi:nil="true"/>
        <AccountType/>
      </UserInfo>
    </FavoriteUsers>
    <KeyEntities xmlns="b54f8815-9287-4f59-90de-11822123a7c4" xsi:nil="true"/>
    <lcf76f155ced4ddcb4097134ff3c332f xmlns="f2ef442b-8d66-49e6-a1f7-bfea3c003785">
      <Terms xmlns="http://schemas.microsoft.com/office/infopath/2007/PartnerControls"/>
    </lcf76f155ced4ddcb4097134ff3c332f>
    <cc92bdb0fa944447acf309642a11bf0d xmlns="b54f8815-9287-4f59-90de-11822123a7c4">
      <Terms xmlns="http://schemas.microsoft.com/office/infopath/2007/PartnerControls"/>
    </cc92bdb0fa944447acf309642a11bf0d>
    <i9f2da93fcc74e869d070fd34a0597c4 xmlns="b54f8815-9287-4f59-90de-11822123a7c4">
      <Terms xmlns="http://schemas.microsoft.com/office/infopath/2007/PartnerControls"/>
    </i9f2da93fcc74e869d070fd34a0597c4>
    <TaxCatchAll xmlns="b54f8815-9287-4f59-90de-11822123a7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3B84E8-5FAA-4741-8938-728631459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4f8815-9287-4f59-90de-11822123a7c4"/>
    <ds:schemaRef ds:uri="f2ef442b-8d66-49e6-a1f7-bfea3c003785"/>
    <ds:schemaRef ds:uri="44ac9623-3450-499a-8f14-2031181f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EE40F5-DC93-4DD6-8583-B1228641E0CB}">
  <ds:schemaRefs>
    <ds:schemaRef ds:uri="http://schemas.microsoft.com/office/2006/metadata/properties"/>
    <ds:schemaRef ds:uri="http://schemas.microsoft.com/office/infopath/2007/PartnerControls"/>
    <ds:schemaRef ds:uri="b54f8815-9287-4f59-90de-11822123a7c4"/>
    <ds:schemaRef ds:uri="f2ef442b-8d66-49e6-a1f7-bfea3c003785"/>
  </ds:schemaRefs>
</ds:datastoreItem>
</file>

<file path=customXml/itemProps3.xml><?xml version="1.0" encoding="utf-8"?>
<ds:datastoreItem xmlns:ds="http://schemas.openxmlformats.org/officeDocument/2006/customXml" ds:itemID="{BE101E84-C6D5-40F0-AB3F-ED00BBB09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Consultant_Budget</vt:lpstr>
      <vt:lpstr>Program Services</vt:lpstr>
      <vt:lpstr>DV-IDENTITY-0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Buck</dc:creator>
  <cp:keywords/>
  <dc:description/>
  <cp:lastModifiedBy>Suana Selmani</cp:lastModifiedBy>
  <cp:revision/>
  <dcterms:created xsi:type="dcterms:W3CDTF">2023-05-17T15:08:26Z</dcterms:created>
  <dcterms:modified xsi:type="dcterms:W3CDTF">2024-06-18T11:33:59Z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0x0101002A2DB23D81B146548380C2D46D07660900A29866FAECBA464CB26920FF672AFBC0009483668325251045A87B249D648350C5</vt:lpwstr>
  </property>
  <property fmtid="{D5CDD505-2E9C-101B-9397-08002B2CF9AE}" pid="3" name="NGOOnlinePriorityGroup">
    <vt:lpwstr/>
  </property>
  <property fmtid="{D5CDD505-2E9C-101B-9397-08002B2CF9AE}" pid="4" name="MediaServiceImageTags">
    <vt:lpwstr/>
  </property>
  <property fmtid="{D5CDD505-2E9C-101B-9397-08002B2CF9AE}" pid="5" name="NGOOnlineKeywords">
    <vt:lpwstr/>
  </property>
  <property fmtid="{D5CDD505-2E9C-101B-9397-08002B2CF9AE}" pid="6" name="NGOOnlineDocumentType">
    <vt:lpwstr/>
  </property>
  <property fmtid="{D5CDD505-2E9C-101B-9397-08002B2CF9AE}" pid="7" name="p75d8c1866154d169f9787e2f8ad3758">
    <vt:lpwstr/>
  </property>
  <property fmtid="{D5CDD505-2E9C-101B-9397-08002B2CF9AE}" pid="8" name="MSIP_Label_11067652-e594-4683-81e3-2cbf4d08314b_Enabled">
    <vt:lpwstr>true</vt:lpwstr>
  </property>
  <property fmtid="{D5CDD505-2E9C-101B-9397-08002B2CF9AE}" pid="9" name="MSIP_Label_11067652-e594-4683-81e3-2cbf4d08314b_SetDate">
    <vt:lpwstr>2024-03-04T12:22:20Z</vt:lpwstr>
  </property>
  <property fmtid="{D5CDD505-2E9C-101B-9397-08002B2CF9AE}" pid="10" name="MSIP_Label_11067652-e594-4683-81e3-2cbf4d08314b_Method">
    <vt:lpwstr>Standard</vt:lpwstr>
  </property>
  <property fmtid="{D5CDD505-2E9C-101B-9397-08002B2CF9AE}" pid="11" name="MSIP_Label_11067652-e594-4683-81e3-2cbf4d08314b_Name">
    <vt:lpwstr>defa4170-0d19-0005-0004-bc88714345d2</vt:lpwstr>
  </property>
  <property fmtid="{D5CDD505-2E9C-101B-9397-08002B2CF9AE}" pid="12" name="MSIP_Label_11067652-e594-4683-81e3-2cbf4d08314b_SiteId">
    <vt:lpwstr>dd4b51f9-ee38-4f0d-87d3-0fcc190484cf</vt:lpwstr>
  </property>
  <property fmtid="{D5CDD505-2E9C-101B-9397-08002B2CF9AE}" pid="13" name="MSIP_Label_11067652-e594-4683-81e3-2cbf4d08314b_ActionId">
    <vt:lpwstr>029fc2e4-7885-4edd-ad90-92e34917eb2d</vt:lpwstr>
  </property>
  <property fmtid="{D5CDD505-2E9C-101B-9397-08002B2CF9AE}" pid="14" name="MSIP_Label_11067652-e594-4683-81e3-2cbf4d08314b_ContentBits">
    <vt:lpwstr>0</vt:lpwstr>
  </property>
</Properties>
</file>